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N:\U\UA\UA1\Marknadsanalys\ST1\Svensk telemarknad\SVENSK TELEKOMMARKNAD 2019\Frågeformulär\"/>
    </mc:Choice>
  </mc:AlternateContent>
  <bookViews>
    <workbookView xWindow="0" yWindow="0" windowWidth="16815" windowHeight="4500" tabRatio="931" activeTab="6"/>
  </bookViews>
  <sheets>
    <sheet name="Försättsblad" sheetId="1" r:id="rId1"/>
    <sheet name="Instruktioner " sheetId="2" r:id="rId2"/>
    <sheet name="Kommersiell verks." sheetId="3" r:id="rId3"/>
    <sheet name="Avgiftsgrundade oms" sheetId="53" r:id="rId4"/>
    <sheet name="Fasta samtalstjänster" sheetId="25" r:id="rId5"/>
    <sheet name="Samtrafik i fasta nät" sheetId="26" r:id="rId6"/>
    <sheet name="Mobila samtalstj." sheetId="54" r:id="rId7"/>
    <sheet name="Samtrafik i mobilnät" sheetId="28" r:id="rId8"/>
    <sheet name="Internettjänst " sheetId="44" r:id="rId9"/>
    <sheet name="TV-tjänster" sheetId="23" r:id="rId10"/>
    <sheet name="Sampaketering" sheetId="24" r:id="rId11"/>
    <sheet name="Datakom-tj. - grossist" sheetId="30" r:id="rId12"/>
    <sheet name="Datakom-tj. - slutkund" sheetId="31" r:id="rId13"/>
    <sheet name=" Svartfiber våglängd" sheetId="55" r:id="rId14"/>
    <sheet name="Byggnadsanslutningar mm" sheetId="52" r:id="rId15"/>
    <sheet name=" Kanalisation" sheetId="56" r:id="rId16"/>
    <sheet name="Om detta formulär" sheetId="19" state="hidden" r:id="rId17"/>
    <sheet name="Blad1" sheetId="41" r:id="rId18"/>
  </sheets>
  <definedNames>
    <definedName name="_xlnm.Print_Area" localSheetId="15">' Kanalisation'!$B$2:$E$35</definedName>
    <definedName name="_xlnm.Print_Area" localSheetId="13">' Svartfiber våglängd'!$A$1:$E$18</definedName>
    <definedName name="_xlnm.Print_Area" localSheetId="3">'Avgiftsgrundade oms'!$B$1:$E$34</definedName>
    <definedName name="_xlnm.Print_Area" localSheetId="14">'Byggnadsanslutningar mm'!$A$1:$D$89</definedName>
    <definedName name="_xlnm.Print_Area" localSheetId="11">'Datakom-tj. - grossist'!$A$1:$E$19</definedName>
    <definedName name="_xlnm.Print_Area" localSheetId="12">'Datakom-tj. - slutkund'!$A$1:$C$19</definedName>
    <definedName name="_xlnm.Print_Area" localSheetId="4">'Fasta samtalstjänster'!$A$1:$E$68</definedName>
    <definedName name="_xlnm.Print_Area" localSheetId="0">Försättsblad!$B$1:$E$24</definedName>
    <definedName name="_xlnm.Print_Area" localSheetId="1">'Instruktioner '!$B$1:$F$45</definedName>
    <definedName name="_xlnm.Print_Area" localSheetId="8">'Internettjänst '!$A$1:$E$111</definedName>
    <definedName name="_xlnm.Print_Area" localSheetId="2">'Kommersiell verks.'!$A$1:$E$106</definedName>
    <definedName name="_xlnm.Print_Area" localSheetId="6">'Mobila samtalstj.'!$A$1:$E$182</definedName>
    <definedName name="_xlnm.Print_Area" localSheetId="16">'Om detta formulär'!$A$1:$D$27</definedName>
    <definedName name="_xlnm.Print_Area" localSheetId="10">Sampaketering!$A$1:$E$35</definedName>
    <definedName name="_xlnm.Print_Area" localSheetId="5">'Samtrafik i fasta nät'!$A$1:$F$58</definedName>
    <definedName name="_xlnm.Print_Area" localSheetId="7">'Samtrafik i mobilnät'!$A$1:$E$50</definedName>
    <definedName name="_xlnm.Print_Area" localSheetId="9">'TV-tjänster'!$A$2:$D$63</definedName>
    <definedName name="_xlnm.Print_Titles" localSheetId="13">' Svartfiber våglängd'!$1:$2</definedName>
    <definedName name="_xlnm.Print_Titles" localSheetId="14">'Byggnadsanslutningar mm'!$1:$2</definedName>
    <definedName name="_xlnm.Print_Titles" localSheetId="11">'Datakom-tj. - grossist'!$1:$2</definedName>
    <definedName name="_xlnm.Print_Titles" localSheetId="12">'Datakom-tj. - slutkund'!$1:$2</definedName>
    <definedName name="_xlnm.Print_Titles" localSheetId="4">'Fasta samtalstjänster'!$1:$2</definedName>
    <definedName name="_xlnm.Print_Titles" localSheetId="8">'Internettjänst '!$2:$2</definedName>
    <definedName name="_xlnm.Print_Titles" localSheetId="2">'Kommersiell verks.'!$1:$2</definedName>
    <definedName name="_xlnm.Print_Titles" localSheetId="6">'Mobila samtalstj.'!$1:$2</definedName>
    <definedName name="_xlnm.Print_Titles" localSheetId="10">Sampaketering!$1:$2</definedName>
    <definedName name="_xlnm.Print_Titles" localSheetId="5">'Samtrafik i fasta nät'!$2:$2</definedName>
    <definedName name="_xlnm.Print_Titles" localSheetId="7">'Samtrafik i mobilnät'!$2:$2</definedName>
    <definedName name="_xlnm.Print_Titles" localSheetId="9">'TV-tjänster'!$1:$2</definedName>
    <definedName name="Z_57543244_C279_4784_9046_AADA166AE6D2_.wvu.PrintArea" localSheetId="13" hidden="1">' Svartfiber våglängd'!$B$1:$C$7</definedName>
    <definedName name="Z_57543244_C279_4784_9046_AADA166AE6D2_.wvu.PrintArea" localSheetId="3" hidden="1">'Avgiftsgrundade oms'!$B$2:$E$18</definedName>
    <definedName name="Z_57543244_C279_4784_9046_AADA166AE6D2_.wvu.PrintArea" localSheetId="14" hidden="1">'Byggnadsanslutningar mm'!$B$1:$D$80</definedName>
    <definedName name="Z_57543244_C279_4784_9046_AADA166AE6D2_.wvu.PrintArea" localSheetId="11" hidden="1">'Datakom-tj. - grossist'!$B$1:$C$3</definedName>
    <definedName name="Z_57543244_C279_4784_9046_AADA166AE6D2_.wvu.PrintArea" localSheetId="12" hidden="1">'Datakom-tj. - slutkund'!$B$1:$C$14</definedName>
    <definedName name="Z_57543244_C279_4784_9046_AADA166AE6D2_.wvu.PrintArea" localSheetId="4" hidden="1">'Fasta samtalstjänster'!$B$1:$E$52</definedName>
    <definedName name="Z_57543244_C279_4784_9046_AADA166AE6D2_.wvu.PrintArea" localSheetId="0" hidden="1">Försättsblad!$B$1:$E$24</definedName>
    <definedName name="Z_57543244_C279_4784_9046_AADA166AE6D2_.wvu.PrintArea" localSheetId="1" hidden="1">'Instruktioner '!$B$1:$F$46</definedName>
    <definedName name="Z_57543244_C279_4784_9046_AADA166AE6D2_.wvu.PrintArea" localSheetId="8" hidden="1">'Internettjänst '!$B$2:$E$92</definedName>
    <definedName name="Z_57543244_C279_4784_9046_AADA166AE6D2_.wvu.PrintArea" localSheetId="2" hidden="1">'Kommersiell verks.'!$B$1:$E$98</definedName>
    <definedName name="Z_57543244_C279_4784_9046_AADA166AE6D2_.wvu.PrintArea" localSheetId="6" hidden="1">'Mobila samtalstj.'!$B$1:$E$145</definedName>
    <definedName name="Z_57543244_C279_4784_9046_AADA166AE6D2_.wvu.PrintArea" localSheetId="16" hidden="1">'Om detta formulär'!$A$1:$D$27</definedName>
    <definedName name="Z_57543244_C279_4784_9046_AADA166AE6D2_.wvu.PrintArea" localSheetId="10" hidden="1">Sampaketering!$B$1:$E$4</definedName>
    <definedName name="Z_57543244_C279_4784_9046_AADA166AE6D2_.wvu.PrintArea" localSheetId="5" hidden="1">'Samtrafik i fasta nät'!$B$2:$F$49</definedName>
    <definedName name="Z_57543244_C279_4784_9046_AADA166AE6D2_.wvu.PrintArea" localSheetId="7" hidden="1">'Samtrafik i mobilnät'!$B$2:$E$43</definedName>
    <definedName name="Z_57543244_C279_4784_9046_AADA166AE6D2_.wvu.PrintArea" localSheetId="9" hidden="1">'TV-tjänster'!$B$1:$D$52</definedName>
    <definedName name="Z_57543244_C279_4784_9046_AADA166AE6D2_.wvu.PrintTitles" localSheetId="13" hidden="1">' Svartfiber våglängd'!$1:$2</definedName>
    <definedName name="Z_57543244_C279_4784_9046_AADA166AE6D2_.wvu.PrintTitles" localSheetId="14" hidden="1">'Byggnadsanslutningar mm'!$1:$2</definedName>
    <definedName name="Z_57543244_C279_4784_9046_AADA166AE6D2_.wvu.PrintTitles" localSheetId="11" hidden="1">'Datakom-tj. - grossist'!$1:$2</definedName>
    <definedName name="Z_57543244_C279_4784_9046_AADA166AE6D2_.wvu.PrintTitles" localSheetId="12" hidden="1">'Datakom-tj. - slutkund'!$1:$2</definedName>
    <definedName name="Z_57543244_C279_4784_9046_AADA166AE6D2_.wvu.PrintTitles" localSheetId="4" hidden="1">'Fasta samtalstjänster'!$1:$2</definedName>
    <definedName name="Z_57543244_C279_4784_9046_AADA166AE6D2_.wvu.PrintTitles" localSheetId="8" hidden="1">'Internettjänst '!$2:$2</definedName>
    <definedName name="Z_57543244_C279_4784_9046_AADA166AE6D2_.wvu.PrintTitles" localSheetId="2" hidden="1">'Kommersiell verks.'!$1:$2</definedName>
    <definedName name="Z_57543244_C279_4784_9046_AADA166AE6D2_.wvu.PrintTitles" localSheetId="6" hidden="1">'Mobila samtalstj.'!$1:$2</definedName>
    <definedName name="Z_57543244_C279_4784_9046_AADA166AE6D2_.wvu.PrintTitles" localSheetId="10" hidden="1">Sampaketering!$1:$2</definedName>
    <definedName name="Z_57543244_C279_4784_9046_AADA166AE6D2_.wvu.PrintTitles" localSheetId="5" hidden="1">'Samtrafik i fasta nät'!$2:$2</definedName>
    <definedName name="Z_57543244_C279_4784_9046_AADA166AE6D2_.wvu.PrintTitles" localSheetId="7" hidden="1">'Samtrafik i mobilnät'!$2:$2</definedName>
    <definedName name="Z_57543244_C279_4784_9046_AADA166AE6D2_.wvu.PrintTitles" localSheetId="9" hidden="1">'TV-tjänster'!$1:$2</definedName>
    <definedName name="Z_AFB80F5F_D59D_4563_906B_EFB87107A041_.wvu.PrintArea" localSheetId="13" hidden="1">' Svartfiber våglängd'!$B$1:$C$7</definedName>
    <definedName name="Z_AFB80F5F_D59D_4563_906B_EFB87107A041_.wvu.PrintArea" localSheetId="3" hidden="1">'Avgiftsgrundade oms'!$B$2:$E$18</definedName>
    <definedName name="Z_AFB80F5F_D59D_4563_906B_EFB87107A041_.wvu.PrintArea" localSheetId="14" hidden="1">'Byggnadsanslutningar mm'!$B$1:$D$80</definedName>
    <definedName name="Z_AFB80F5F_D59D_4563_906B_EFB87107A041_.wvu.PrintArea" localSheetId="11" hidden="1">'Datakom-tj. - grossist'!$B$1:$C$3</definedName>
    <definedName name="Z_AFB80F5F_D59D_4563_906B_EFB87107A041_.wvu.PrintArea" localSheetId="12" hidden="1">'Datakom-tj. - slutkund'!$B$1:$C$14</definedName>
    <definedName name="Z_AFB80F5F_D59D_4563_906B_EFB87107A041_.wvu.PrintArea" localSheetId="4" hidden="1">'Fasta samtalstjänster'!$B$1:$E$52</definedName>
    <definedName name="Z_AFB80F5F_D59D_4563_906B_EFB87107A041_.wvu.PrintArea" localSheetId="0" hidden="1">Försättsblad!$B$1:$E$24</definedName>
    <definedName name="Z_AFB80F5F_D59D_4563_906B_EFB87107A041_.wvu.PrintArea" localSheetId="1" hidden="1">'Instruktioner '!$B$1:$F$46</definedName>
    <definedName name="Z_AFB80F5F_D59D_4563_906B_EFB87107A041_.wvu.PrintArea" localSheetId="8" hidden="1">'Internettjänst '!$B$2:$E$92</definedName>
    <definedName name="Z_AFB80F5F_D59D_4563_906B_EFB87107A041_.wvu.PrintArea" localSheetId="2" hidden="1">'Kommersiell verks.'!$B$1:$E$98</definedName>
    <definedName name="Z_AFB80F5F_D59D_4563_906B_EFB87107A041_.wvu.PrintArea" localSheetId="6" hidden="1">'Mobila samtalstj.'!$B$1:$E$145</definedName>
    <definedName name="Z_AFB80F5F_D59D_4563_906B_EFB87107A041_.wvu.PrintArea" localSheetId="16" hidden="1">'Om detta formulär'!$A$1:$D$27</definedName>
    <definedName name="Z_AFB80F5F_D59D_4563_906B_EFB87107A041_.wvu.PrintArea" localSheetId="10" hidden="1">Sampaketering!$B$1:$E$4</definedName>
    <definedName name="Z_AFB80F5F_D59D_4563_906B_EFB87107A041_.wvu.PrintArea" localSheetId="5" hidden="1">'Samtrafik i fasta nät'!$B$2:$F$49</definedName>
    <definedName name="Z_AFB80F5F_D59D_4563_906B_EFB87107A041_.wvu.PrintArea" localSheetId="7" hidden="1">'Samtrafik i mobilnät'!$B$2:$E$43</definedName>
    <definedName name="Z_AFB80F5F_D59D_4563_906B_EFB87107A041_.wvu.PrintArea" localSheetId="9" hidden="1">'TV-tjänster'!$B$1:$D$52</definedName>
    <definedName name="Z_AFB80F5F_D59D_4563_906B_EFB87107A041_.wvu.PrintTitles" localSheetId="13" hidden="1">' Svartfiber våglängd'!$1:$2</definedName>
    <definedName name="Z_AFB80F5F_D59D_4563_906B_EFB87107A041_.wvu.PrintTitles" localSheetId="14" hidden="1">'Byggnadsanslutningar mm'!$1:$2</definedName>
    <definedName name="Z_AFB80F5F_D59D_4563_906B_EFB87107A041_.wvu.PrintTitles" localSheetId="11" hidden="1">'Datakom-tj. - grossist'!$1:$2</definedName>
    <definedName name="Z_AFB80F5F_D59D_4563_906B_EFB87107A041_.wvu.PrintTitles" localSheetId="12" hidden="1">'Datakom-tj. - slutkund'!$1:$2</definedName>
    <definedName name="Z_AFB80F5F_D59D_4563_906B_EFB87107A041_.wvu.PrintTitles" localSheetId="4" hidden="1">'Fasta samtalstjänster'!$1:$2</definedName>
    <definedName name="Z_AFB80F5F_D59D_4563_906B_EFB87107A041_.wvu.PrintTitles" localSheetId="8" hidden="1">'Internettjänst '!$2:$2</definedName>
    <definedName name="Z_AFB80F5F_D59D_4563_906B_EFB87107A041_.wvu.PrintTitles" localSheetId="2" hidden="1">'Kommersiell verks.'!$1:$2</definedName>
    <definedName name="Z_AFB80F5F_D59D_4563_906B_EFB87107A041_.wvu.PrintTitles" localSheetId="6" hidden="1">'Mobila samtalstj.'!$1:$2</definedName>
    <definedName name="Z_AFB80F5F_D59D_4563_906B_EFB87107A041_.wvu.PrintTitles" localSheetId="10" hidden="1">Sampaketering!$1:$2</definedName>
    <definedName name="Z_AFB80F5F_D59D_4563_906B_EFB87107A041_.wvu.PrintTitles" localSheetId="5" hidden="1">'Samtrafik i fasta nät'!$2:$2</definedName>
    <definedName name="Z_AFB80F5F_D59D_4563_906B_EFB87107A041_.wvu.PrintTitles" localSheetId="7" hidden="1">'Samtrafik i mobilnät'!$2:$2</definedName>
    <definedName name="Z_AFB80F5F_D59D_4563_906B_EFB87107A041_.wvu.PrintTitles" localSheetId="9" hidden="1">'TV-tjänster'!$1:$2</definedName>
    <definedName name="Z_F7972ADC_A8C8_4725_B1BA_436E48CBB8C8_.wvu.PrintArea" localSheetId="10" hidden="1">Sampaketering!$B$1:$E$4</definedName>
    <definedName name="Z_F7972ADC_A8C8_4725_B1BA_436E48CBB8C8_.wvu.PrintTitles" localSheetId="10" hidden="1">Sampaketering!$1:$2</definedName>
  </definedNames>
  <calcPr calcId="162913"/>
  <customWorkbookViews>
    <customWorkbookView name="Pamela Davidsson - Personlig vy" guid="{57543244-C279-4784-9046-AADA166AE6D2}" mergeInterval="0" personalView="1" maximized="1" xWindow="1" yWindow="1" windowWidth="1680" windowHeight="783" tabRatio="931" activeSheetId="1"/>
    <customWorkbookView name="jora - Personlig vy" guid="{AFB80F5F-D59D-4563-906B-EFB87107A041}" mergeInterval="0" personalView="1" maximized="1" xWindow="1" yWindow="1" windowWidth="1600" windowHeight="933" tabRatio="931" activeSheetId="18"/>
  </customWorkbookViews>
</workbook>
</file>

<file path=xl/calcChain.xml><?xml version="1.0" encoding="utf-8"?>
<calcChain xmlns="http://schemas.openxmlformats.org/spreadsheetml/2006/main">
  <c r="B52" i="54" l="1"/>
  <c r="B13" i="31" l="1"/>
  <c r="B25" i="28"/>
  <c r="B88" i="3"/>
  <c r="B5" i="23"/>
  <c r="B108" i="54"/>
  <c r="B21" i="25"/>
  <c r="B110" i="54" l="1"/>
  <c r="B99" i="54" l="1"/>
  <c r="B98" i="54"/>
  <c r="B97" i="54"/>
  <c r="B95" i="54"/>
  <c r="B62" i="52" l="1"/>
  <c r="B38" i="52"/>
  <c r="B9" i="52"/>
  <c r="B9" i="55"/>
  <c r="B4" i="55"/>
  <c r="B4" i="31"/>
  <c r="B47" i="23"/>
  <c r="B27" i="23"/>
  <c r="B85" i="44"/>
  <c r="B55" i="44"/>
  <c r="B3" i="44"/>
  <c r="B36" i="28"/>
  <c r="B27" i="28"/>
  <c r="B17" i="28"/>
  <c r="B7" i="28"/>
  <c r="B3" i="28"/>
  <c r="B136" i="54" l="1"/>
  <c r="B127" i="54"/>
  <c r="B116" i="54"/>
  <c r="B82" i="54"/>
  <c r="B69" i="54"/>
  <c r="B48" i="54"/>
  <c r="B46" i="54"/>
  <c r="B21" i="54"/>
  <c r="B5" i="54"/>
  <c r="B41" i="26"/>
  <c r="B32" i="26"/>
  <c r="B27" i="26"/>
  <c r="B17" i="26"/>
  <c r="B7" i="26"/>
  <c r="B45" i="25"/>
  <c r="B36" i="25"/>
  <c r="B90" i="3" l="1"/>
  <c r="B6" i="3"/>
  <c r="C72" i="3" l="1"/>
  <c r="C70" i="3" s="1"/>
  <c r="B33" i="44" l="1"/>
  <c r="B134" i="54" l="1"/>
  <c r="E43" i="28" l="1"/>
  <c r="E42" i="28"/>
  <c r="C92" i="3"/>
  <c r="E84" i="3"/>
  <c r="E86" i="3"/>
  <c r="E82" i="3"/>
  <c r="D24" i="23"/>
  <c r="D23" i="23"/>
  <c r="D28" i="24" l="1"/>
  <c r="C28" i="24"/>
  <c r="E28" i="24" s="1"/>
  <c r="E27" i="24"/>
  <c r="E26" i="24"/>
  <c r="D24" i="24"/>
  <c r="C24" i="24"/>
  <c r="E24" i="24" s="1"/>
  <c r="E23" i="24"/>
  <c r="E22" i="24"/>
  <c r="E21" i="24"/>
  <c r="E20" i="24"/>
  <c r="E19" i="24"/>
  <c r="D17" i="24"/>
  <c r="D30" i="24" s="1"/>
  <c r="C17" i="24"/>
  <c r="E16" i="24"/>
  <c r="E15" i="24"/>
  <c r="E14" i="24"/>
  <c r="E13" i="24"/>
  <c r="E12" i="24"/>
  <c r="E11" i="24"/>
  <c r="E10" i="24"/>
  <c r="E9" i="24"/>
  <c r="E17" i="24" l="1"/>
  <c r="C30" i="24"/>
  <c r="E30" i="24" s="1"/>
  <c r="E33" i="28" l="1"/>
  <c r="E34" i="28"/>
  <c r="F48" i="26"/>
  <c r="F47" i="26"/>
  <c r="B17" i="25" l="1"/>
  <c r="E12" i="30"/>
  <c r="D12" i="30"/>
  <c r="C11" i="30"/>
  <c r="C10" i="30"/>
  <c r="C9" i="30"/>
  <c r="E65" i="44" l="1"/>
  <c r="B121" i="54"/>
  <c r="B118" i="54"/>
  <c r="B38" i="3" l="1"/>
  <c r="C12" i="30" l="1"/>
  <c r="B18" i="54"/>
  <c r="B19" i="54"/>
  <c r="B10" i="23"/>
  <c r="B24" i="23"/>
  <c r="B16" i="23"/>
  <c r="B15" i="23"/>
  <c r="B12" i="23"/>
  <c r="B11" i="23"/>
  <c r="B9" i="23"/>
  <c r="B8" i="23"/>
  <c r="B7" i="23"/>
  <c r="D23" i="54"/>
  <c r="C23" i="54"/>
  <c r="E23" i="54" s="1"/>
  <c r="B68" i="3"/>
  <c r="D57" i="52"/>
  <c r="D21" i="52"/>
  <c r="D18" i="52"/>
  <c r="D15" i="52"/>
  <c r="D11" i="52"/>
  <c r="D64" i="52"/>
  <c r="C10" i="31"/>
  <c r="D13" i="54"/>
  <c r="B55" i="3"/>
  <c r="D24" i="52" l="1"/>
  <c r="B105" i="54" l="1"/>
  <c r="E64" i="54" l="1"/>
  <c r="E67" i="54"/>
  <c r="E56" i="54"/>
  <c r="E55" i="54"/>
  <c r="B85" i="54"/>
  <c r="B32" i="25" l="1"/>
  <c r="D6" i="44" l="1"/>
  <c r="C6" i="44"/>
  <c r="E11" i="44"/>
  <c r="E10" i="44"/>
  <c r="E9" i="44"/>
  <c r="E8" i="44"/>
  <c r="E7" i="44"/>
  <c r="E6" i="44" l="1"/>
  <c r="C63" i="3"/>
  <c r="C65" i="3" s="1"/>
  <c r="B12" i="55" l="1"/>
  <c r="B7" i="55"/>
  <c r="B89" i="44" l="1"/>
  <c r="B88" i="44"/>
  <c r="B87" i="44"/>
  <c r="B4" i="25"/>
  <c r="B16" i="54" l="1"/>
  <c r="B13" i="54"/>
  <c r="B7" i="54"/>
  <c r="B67" i="44" l="1"/>
  <c r="B133" i="54" l="1"/>
  <c r="B132" i="54"/>
  <c r="E113" i="54"/>
  <c r="E110" i="54"/>
  <c r="E105" i="54"/>
  <c r="E104" i="54"/>
  <c r="E101" i="54"/>
  <c r="D100" i="54"/>
  <c r="C100" i="54"/>
  <c r="E99" i="54"/>
  <c r="E97" i="54"/>
  <c r="D89" i="54"/>
  <c r="C89" i="54"/>
  <c r="E88" i="54"/>
  <c r="E87" i="54"/>
  <c r="E86" i="54"/>
  <c r="E85" i="54"/>
  <c r="E84" i="54"/>
  <c r="D76" i="54"/>
  <c r="C76" i="54"/>
  <c r="E75" i="54"/>
  <c r="E74" i="54"/>
  <c r="E73" i="54"/>
  <c r="E72" i="54"/>
  <c r="B72" i="54"/>
  <c r="E71" i="54"/>
  <c r="E65" i="54"/>
  <c r="B65" i="54"/>
  <c r="D63" i="54"/>
  <c r="C63" i="54"/>
  <c r="E62" i="54"/>
  <c r="B62" i="54"/>
  <c r="E61" i="54"/>
  <c r="E60" i="54"/>
  <c r="B60" i="54"/>
  <c r="E59" i="54"/>
  <c r="E58" i="54"/>
  <c r="B58" i="54"/>
  <c r="E57" i="54"/>
  <c r="B57" i="54"/>
  <c r="B55" i="54"/>
  <c r="E50" i="54"/>
  <c r="B50" i="54"/>
  <c r="D40" i="54"/>
  <c r="C40" i="54"/>
  <c r="E39" i="54"/>
  <c r="E38" i="54"/>
  <c r="E37" i="54"/>
  <c r="E36" i="54"/>
  <c r="E35" i="54"/>
  <c r="E34" i="54"/>
  <c r="E33" i="54"/>
  <c r="D32" i="54"/>
  <c r="C32" i="54"/>
  <c r="B32" i="54"/>
  <c r="D31" i="54"/>
  <c r="C31" i="54"/>
  <c r="E30" i="54"/>
  <c r="E29" i="54"/>
  <c r="E28" i="54"/>
  <c r="E27" i="54"/>
  <c r="E26" i="54"/>
  <c r="E25" i="54"/>
  <c r="E24" i="54"/>
  <c r="B23" i="54"/>
  <c r="B17" i="54"/>
  <c r="E15" i="54"/>
  <c r="E14" i="54"/>
  <c r="B14" i="54"/>
  <c r="C13" i="54"/>
  <c r="E12" i="54"/>
  <c r="E11" i="54"/>
  <c r="B11" i="54"/>
  <c r="D10" i="54"/>
  <c r="C10" i="54"/>
  <c r="B10" i="54"/>
  <c r="E9" i="54"/>
  <c r="E8" i="54"/>
  <c r="B8" i="54"/>
  <c r="D7" i="54"/>
  <c r="C7" i="54"/>
  <c r="E76" i="54" l="1"/>
  <c r="E100" i="54"/>
  <c r="E31" i="54"/>
  <c r="E13" i="54"/>
  <c r="E10" i="54"/>
  <c r="C16" i="54"/>
  <c r="E63" i="54"/>
  <c r="E40" i="54"/>
  <c r="E7" i="54"/>
  <c r="D16" i="54"/>
  <c r="E32" i="54"/>
  <c r="E89" i="54"/>
  <c r="E16" i="54" l="1"/>
  <c r="D15" i="23"/>
  <c r="D10" i="23"/>
  <c r="D7" i="23"/>
  <c r="E81" i="44"/>
  <c r="E80" i="44"/>
  <c r="E79" i="44"/>
  <c r="E78" i="44"/>
  <c r="E77" i="44"/>
  <c r="D76" i="44"/>
  <c r="C76" i="44"/>
  <c r="E74" i="44"/>
  <c r="E73" i="44"/>
  <c r="E72" i="44"/>
  <c r="E71" i="44"/>
  <c r="E70" i="44"/>
  <c r="E69" i="44"/>
  <c r="E68" i="44"/>
  <c r="D67" i="44"/>
  <c r="C67" i="44"/>
  <c r="E66" i="44"/>
  <c r="E64" i="44"/>
  <c r="E63" i="44"/>
  <c r="E62" i="44"/>
  <c r="E61" i="44"/>
  <c r="E60" i="44"/>
  <c r="E59" i="44"/>
  <c r="D58" i="44"/>
  <c r="C58" i="44"/>
  <c r="E53" i="44"/>
  <c r="E52" i="44"/>
  <c r="E51" i="44"/>
  <c r="E50" i="44"/>
  <c r="E49" i="44"/>
  <c r="D48" i="44"/>
  <c r="C48" i="44"/>
  <c r="E48" i="44" s="1"/>
  <c r="E46" i="44"/>
  <c r="E45" i="44"/>
  <c r="E44" i="44"/>
  <c r="E43" i="44"/>
  <c r="E42" i="44"/>
  <c r="E41" i="44"/>
  <c r="E40" i="44"/>
  <c r="D39" i="44"/>
  <c r="C39" i="44"/>
  <c r="B39" i="44"/>
  <c r="E38" i="44"/>
  <c r="E37" i="44"/>
  <c r="E36" i="44"/>
  <c r="E35" i="44"/>
  <c r="E34" i="44"/>
  <c r="D33" i="44"/>
  <c r="C33" i="44"/>
  <c r="E31" i="44"/>
  <c r="E30" i="44"/>
  <c r="E29" i="44"/>
  <c r="E28" i="44"/>
  <c r="E27" i="44"/>
  <c r="E26" i="44"/>
  <c r="E25" i="44"/>
  <c r="D24" i="44"/>
  <c r="C24" i="44"/>
  <c r="E23" i="44"/>
  <c r="B23" i="44"/>
  <c r="E22" i="44"/>
  <c r="B22" i="44"/>
  <c r="E21" i="44"/>
  <c r="B21" i="44"/>
  <c r="E19" i="44"/>
  <c r="E18" i="44"/>
  <c r="E17" i="44"/>
  <c r="E16" i="44"/>
  <c r="E15" i="44"/>
  <c r="E14" i="44"/>
  <c r="E13" i="44"/>
  <c r="D12" i="44"/>
  <c r="C12" i="44"/>
  <c r="E5" i="44"/>
  <c r="E87" i="44"/>
  <c r="E88" i="44"/>
  <c r="E89" i="44"/>
  <c r="E90" i="44"/>
  <c r="E91" i="44"/>
  <c r="C92" i="44"/>
  <c r="D92" i="44"/>
  <c r="E92" i="44" l="1"/>
  <c r="E24" i="44"/>
  <c r="E33" i="44"/>
  <c r="E39" i="44"/>
  <c r="E12" i="44"/>
  <c r="E67" i="44"/>
  <c r="E76" i="44"/>
  <c r="C54" i="44"/>
  <c r="D54" i="44"/>
  <c r="E58" i="44"/>
  <c r="D82" i="44"/>
  <c r="C82" i="44"/>
  <c r="E82" i="44" l="1"/>
  <c r="E54" i="44"/>
  <c r="B7" i="31" l="1"/>
  <c r="B6" i="31"/>
  <c r="D13" i="53" l="1"/>
  <c r="E14" i="26"/>
  <c r="B67" i="52" l="1"/>
  <c r="D40" i="52" l="1"/>
  <c r="D45" i="52"/>
  <c r="D49" i="52"/>
  <c r="D53" i="52"/>
  <c r="D68" i="52"/>
  <c r="B71" i="52"/>
  <c r="D72" i="52"/>
  <c r="B75" i="52"/>
  <c r="D76" i="52"/>
  <c r="B79" i="52"/>
  <c r="D80" i="52" l="1"/>
  <c r="B7" i="25" l="1"/>
  <c r="B47" i="25"/>
  <c r="B38" i="25"/>
  <c r="B29" i="25"/>
  <c r="D28" i="23" l="1"/>
  <c r="C28" i="23"/>
  <c r="E99" i="44" l="1"/>
  <c r="D99" i="44"/>
  <c r="B5" i="3" l="1"/>
  <c r="B19" i="28" l="1"/>
  <c r="B37" i="23" l="1"/>
  <c r="B36" i="23"/>
  <c r="B34" i="23"/>
  <c r="B33" i="23"/>
  <c r="B30" i="23"/>
  <c r="B31" i="23"/>
  <c r="B9" i="31" l="1"/>
  <c r="B9" i="28"/>
  <c r="B25" i="26"/>
  <c r="B23" i="26"/>
  <c r="B19" i="26"/>
  <c r="B15" i="26"/>
  <c r="B13" i="26"/>
  <c r="B9" i="26"/>
  <c r="B50" i="25"/>
  <c r="B41" i="25"/>
  <c r="B23" i="25"/>
  <c r="B13" i="25"/>
  <c r="B16" i="25"/>
  <c r="B14" i="25"/>
  <c r="B12" i="25"/>
  <c r="B9" i="25"/>
  <c r="B8" i="25"/>
  <c r="B6" i="25"/>
  <c r="C15" i="25"/>
  <c r="E41" i="28" l="1"/>
  <c r="E40" i="28"/>
  <c r="E39" i="28"/>
  <c r="E32" i="28"/>
  <c r="E31" i="28"/>
  <c r="E30" i="28"/>
  <c r="E23" i="28"/>
  <c r="F46" i="26"/>
  <c r="F45" i="26"/>
  <c r="F44" i="26"/>
  <c r="F39" i="26"/>
  <c r="F38" i="26"/>
  <c r="F37" i="26"/>
  <c r="F36" i="26"/>
  <c r="F35" i="26"/>
  <c r="E24" i="26"/>
  <c r="E52" i="25"/>
  <c r="D51" i="25"/>
  <c r="C51" i="25"/>
  <c r="E50" i="25"/>
  <c r="E49" i="25"/>
  <c r="E48" i="25"/>
  <c r="E47" i="25"/>
  <c r="E43" i="25"/>
  <c r="D42" i="25"/>
  <c r="C42" i="25"/>
  <c r="E41" i="25"/>
  <c r="E40" i="25"/>
  <c r="E39" i="25"/>
  <c r="E38" i="25"/>
  <c r="E34" i="25"/>
  <c r="E32" i="25"/>
  <c r="E31" i="25"/>
  <c r="E30" i="25"/>
  <c r="E29" i="25"/>
  <c r="E28" i="25"/>
  <c r="E27" i="25"/>
  <c r="E26" i="25"/>
  <c r="E25" i="25"/>
  <c r="E24" i="25"/>
  <c r="D23" i="25"/>
  <c r="D33" i="25" s="1"/>
  <c r="C23" i="25"/>
  <c r="C33" i="25" s="1"/>
  <c r="E17" i="25"/>
  <c r="D15" i="25"/>
  <c r="E14" i="25"/>
  <c r="E13" i="25"/>
  <c r="E12" i="25"/>
  <c r="E11" i="25"/>
  <c r="E10" i="25"/>
  <c r="E9" i="25"/>
  <c r="E8" i="25"/>
  <c r="E7" i="25"/>
  <c r="D6" i="25"/>
  <c r="C6" i="25"/>
  <c r="E6" i="25" l="1"/>
  <c r="E51" i="25"/>
  <c r="E15" i="28"/>
  <c r="E42" i="25"/>
  <c r="E15" i="25"/>
  <c r="E33" i="25"/>
  <c r="E23" i="25"/>
  <c r="D49" i="23" l="1"/>
  <c r="D36" i="23"/>
  <c r="C36" i="23"/>
  <c r="D33" i="23"/>
  <c r="C33" i="23"/>
  <c r="D30" i="23"/>
  <c r="C30" i="23"/>
  <c r="C43" i="23" l="1"/>
  <c r="D43" i="23"/>
  <c r="E70" i="3" l="1"/>
</calcChain>
</file>

<file path=xl/sharedStrings.xml><?xml version="1.0" encoding="utf-8"?>
<sst xmlns="http://schemas.openxmlformats.org/spreadsheetml/2006/main" count="834" uniqueCount="562">
  <si>
    <t>Totalt antal utgående samtal för fast telefoni:</t>
  </si>
  <si>
    <r>
      <t xml:space="preserve">Antal terminerade trafikminuter från </t>
    </r>
    <r>
      <rPr>
        <u/>
        <sz val="10"/>
        <rFont val="Arial"/>
        <family val="2"/>
      </rPr>
      <t>internationellt</t>
    </r>
    <r>
      <rPr>
        <sz val="10"/>
        <rFont val="Arial"/>
        <family val="2"/>
      </rPr>
      <t xml:space="preserve"> inkommande trafik:</t>
    </r>
  </si>
  <si>
    <t>SAMTRAFIK I MOBILNÄT</t>
  </si>
  <si>
    <t>Totala samtrafikintäkter mobil telefoni:</t>
  </si>
  <si>
    <t xml:space="preserve">         varav koncernintern trafik:</t>
  </si>
  <si>
    <t>Total samtrafik mobil telefoni:</t>
  </si>
  <si>
    <t>Utgående samtal från mobiltelefon till nationellt mobilnät:</t>
  </si>
  <si>
    <t>Utgående samtal från mobiltelefon till nationellt fastnät:</t>
  </si>
  <si>
    <t>Totalt antal samtal för mobil telefoni:</t>
  </si>
  <si>
    <t>Instruktioner till frågeformuläret</t>
  </si>
  <si>
    <t>Nettoomsättning:</t>
  </si>
  <si>
    <t>Män</t>
  </si>
  <si>
    <t>Kvinnor</t>
  </si>
  <si>
    <t>Tillhandahåller ni för närvarande terminering av inkommande trafik till eget mobilnät?</t>
  </si>
  <si>
    <t>Namn på företag</t>
  </si>
  <si>
    <t>Kabel-tv:</t>
  </si>
  <si>
    <t>KOMMERSIELL VERKSAMHET</t>
  </si>
  <si>
    <t>Antal MMS skickade från mobiltelefon:</t>
  </si>
  <si>
    <t>Privat</t>
  </si>
  <si>
    <t>Företag</t>
  </si>
  <si>
    <t>Totalt</t>
  </si>
  <si>
    <t>Totala intäkter för fast telefoni från slutkund:</t>
  </si>
  <si>
    <t>Totalt antal utgående trafikminuter för fast telefoni:</t>
  </si>
  <si>
    <t>Totala intäkter:</t>
  </si>
  <si>
    <t>Satellit:</t>
  </si>
  <si>
    <t xml:space="preserve"> </t>
  </si>
  <si>
    <t xml:space="preserve"> Ja / Nej </t>
  </si>
  <si>
    <t xml:space="preserve">         varav koncerninterna intäkter:</t>
  </si>
  <si>
    <t>SAMTRAFIK I FASTA NÄT</t>
  </si>
  <si>
    <r>
      <t xml:space="preserve">Terminering av </t>
    </r>
    <r>
      <rPr>
        <u/>
        <sz val="10"/>
        <rFont val="Arial"/>
        <family val="2"/>
      </rPr>
      <t>internationellt</t>
    </r>
    <r>
      <rPr>
        <sz val="10"/>
        <rFont val="Arial"/>
        <family val="2"/>
      </rPr>
      <t xml:space="preserve"> inkommande trafik:</t>
    </r>
  </si>
  <si>
    <t>Totala samtrafikintäkter fast telefoni:</t>
  </si>
  <si>
    <t>Tillhandahåller ni terminering av inkommande trafik till eget fastnät?</t>
  </si>
  <si>
    <t>varav koncern- internt</t>
  </si>
  <si>
    <t>Ja / Nej</t>
  </si>
  <si>
    <t>FASTA SAMTALSTJÄNSTER</t>
  </si>
  <si>
    <t>Frågeformulär till</t>
  </si>
  <si>
    <t>Underlag till SMP-bedömningar</t>
  </si>
  <si>
    <t>Företagets namn:</t>
  </si>
  <si>
    <t xml:space="preserve">Organisationsnummer: </t>
  </si>
  <si>
    <t>Totalt antal samtrafikminuter:</t>
  </si>
  <si>
    <t>Antal terminerade trafikminuter från egna kunder:</t>
  </si>
  <si>
    <t>Läs igenom försättsbladet innan ni börjar att fylla i uppgifterna</t>
  </si>
  <si>
    <t>xDSL:</t>
  </si>
  <si>
    <t>Underlag till nationalräkenskaperna</t>
  </si>
  <si>
    <t>TV-TJÄNSTER</t>
  </si>
  <si>
    <t>Radio- och tv-utsändningstjänster:</t>
  </si>
  <si>
    <t xml:space="preserve">Kommentar: </t>
  </si>
  <si>
    <t>PSTN (Modem upp till 56 kbit/s):</t>
  </si>
  <si>
    <t xml:space="preserve">     varav över 144 kbit/s och under 2 Mbit/s:</t>
  </si>
  <si>
    <t xml:space="preserve">     varav 2 Mbit/s och över samt under 10 Mbit/s:</t>
  </si>
  <si>
    <t>Kommentar:</t>
  </si>
  <si>
    <t>SAMPAKETERADE ABONNEMANG</t>
  </si>
  <si>
    <t>Typ av sampaketerat abonnemang</t>
  </si>
  <si>
    <t>Double-play:</t>
  </si>
  <si>
    <t>Fast telefoni och tv:</t>
  </si>
  <si>
    <t>Övriga kombinationer, ange vad under kommentarer:</t>
  </si>
  <si>
    <t>Triple-play:</t>
  </si>
  <si>
    <t>Totala intäkter för mobila samtals- och datatjänster från slutkund:</t>
  </si>
  <si>
    <t>Ange aktör</t>
  </si>
  <si>
    <r>
      <t>Antal slutkunder</t>
    </r>
    <r>
      <rPr>
        <i/>
        <sz val="10"/>
        <rFont val="Arial"/>
        <family val="2"/>
      </rPr>
      <t>:</t>
    </r>
  </si>
  <si>
    <t>Nej</t>
  </si>
  <si>
    <t>Ja</t>
  </si>
  <si>
    <t xml:space="preserve">Samråd med Näringslivets Regelnämnd, NNR, har skett i enlighet med samrådsförordningen (SFS 1982:668) </t>
  </si>
  <si>
    <t>varav via xDSL-access:</t>
  </si>
  <si>
    <t>varav via kabel-tv-access:</t>
  </si>
  <si>
    <t>Terminering i annan operatörs</t>
  </si>
  <si>
    <t>Fastnät</t>
  </si>
  <si>
    <t>Mobilnät</t>
  </si>
  <si>
    <t>Terminering i tredje operatörs</t>
  </si>
  <si>
    <t>fastnät</t>
  </si>
  <si>
    <t>mobilnät</t>
  </si>
  <si>
    <t>INTERNETABONNEMANG</t>
  </si>
  <si>
    <t xml:space="preserve">     varav 10 Mbit/s och över samt under 30 Mbit/s:</t>
  </si>
  <si>
    <t>Fasta samtalstjänster (även IP-telefoni):</t>
  </si>
  <si>
    <t>Samtrafik i fasta nät:</t>
  </si>
  <si>
    <t>Mobila samtals- och datatjänster samt mobilt bredband:</t>
  </si>
  <si>
    <t>Samtrafik i mobilnät:</t>
  </si>
  <si>
    <t>Datakomtjänster - till slutkund:</t>
  </si>
  <si>
    <t>Internetabonnemang:</t>
  </si>
  <si>
    <t>Tv-tjänster:</t>
  </si>
  <si>
    <t>Sampaketerade abonnemang:</t>
  </si>
  <si>
    <t>Tv via marknät:</t>
  </si>
  <si>
    <t>Tv via satellit:</t>
  </si>
  <si>
    <t>Kommentarer ska skrivas i kolumn G och inget annat.</t>
  </si>
  <si>
    <t>Skriv in år:</t>
  </si>
  <si>
    <t>Skriv in datumet:</t>
  </si>
  <si>
    <t xml:space="preserve">Ett PSTN-abonnemang är liktydigt med en huvudledning till egen slutkund där abonnemang för analog telefoni levereras. Vanligtvis är den operatör som har abonnemangskunder ägare av huvudledningen, alternativt hyr operatören huvudledningen av en nätoperatör (exempelvis genom fullt eller delat tillträde) eller köper en grossistprodukt för telefoniabonnemang. En indirekt ansluten kund, dvs. kund ansluten via GTA, förvalskund eller prefixkund, ska inte medräknas här.                                                                                                                                       </t>
  </si>
  <si>
    <t>Skriv in kvartalet:</t>
  </si>
  <si>
    <t>Inklusive fasta avgifter. Avser bruttointäkter, dvs. före eventuell kvittning.</t>
  </si>
  <si>
    <t>Samtalsoriginering omfattar överföring av samtal från slutanvändarens nätanslutningspunkt, inklusive dirigering och koppling, fram till den punkt, så nära slutanvändaren som möjligt, där en förmedlingstjänst eller annan infrastruktur kan förmedla trafiken. Samtalsoriginering omfattar endast överföring fram till den punkt där det är möjligt att överlämna (trafiken) till en annan operatör oavsett om överlämning sker där eller högre upp i nätet och oavsett om annan infrastruktur verkligen finns utbyggd vid denna punkt eller ej. Samtalsterminering definieras i motsvarande punkt som samtalsoriginering.</t>
  </si>
  <si>
    <t>varav över 144 kbit/s och under 2 Mbit/s:</t>
  </si>
  <si>
    <t>varav 2 Mbit/s och över samt under 10 Mbit/s:</t>
  </si>
  <si>
    <t>Koaxialkabel - Kabel-tv:</t>
  </si>
  <si>
    <t>Fasta radiobaserade (ej mobiltelenät):</t>
  </si>
  <si>
    <t>MOBILA SAMTALS- OCH DATATJÄNSTER SAMT MOBILT BREDBAND</t>
  </si>
  <si>
    <t>varav kontraktsabonnemang:</t>
  </si>
  <si>
    <t>varav via avtal direkt med hushåll utan avtal om abonnemang med fastighetsägare:</t>
  </si>
  <si>
    <t>Totalt antal hushåll</t>
  </si>
  <si>
    <t>Agentverksamhet</t>
  </si>
  <si>
    <t xml:space="preserve">  varav i fiber och fiber-LAN</t>
  </si>
  <si>
    <t>varav intäkter från hushåll</t>
  </si>
  <si>
    <t>Samtrafik som utbyts med andra operatörer via förbindelser med paketförmedlad teknik (vanligtvis IP-teknik) och som inte sker via kretskopplade samtrafikförbindelser.</t>
  </si>
  <si>
    <t>Observera att trafik som terminerar i ert mobilnät också skall anges här. Innehar ni endast ett fast nät, alternativt mobilnät, bortser ni ifrån det andra.</t>
  </si>
  <si>
    <t>Med direktförbindelse avses sådan trafik som originerar i eget nät och terminerar i annan operatörs nät eller eget nät utan att ta vägen via en transitoperatör.</t>
  </si>
  <si>
    <t>Med transitering avses sådan trafik som originerar i eget nät och transiteras i annan operatörs nät för att sedan terminera i en tredje operatörs nät eller eget nät.</t>
  </si>
  <si>
    <t>Observera att trafik som terminerar i ert mobilnät också skall anges här. Innehar ni endast ett fast, alternativt mobilnät, bortser ni ifrån det andra.</t>
  </si>
  <si>
    <t>Till exempel rena återförsäljarprodukter eller mera oförädlade produkter, såsom s.k. bitströmsprodukter.</t>
  </si>
  <si>
    <t>Inkluderar e-post endast då detta ingår i den fasta avgiften. Avser inte intäkter från datakommunikationstjänster.</t>
  </si>
  <si>
    <t>Avser endast koncerninterna intäkter inom Sverige.</t>
  </si>
  <si>
    <t>Med våglängd avses att det optiska ljuset i en fiber delas in i våglängder så att varje våglängd fungerar som en kanal.</t>
  </si>
  <si>
    <t>Med egen infrastruktur avses sådan infrastruktur som ni själva äger och även sådana anslutningar som ägs av ett företag men säljs av ett annat inom en och samma koncern.</t>
  </si>
  <si>
    <t>Avser fastighetanslutningar som säljs eller hyrs ut till annan operatör, dvs. som grossistprodukt.</t>
  </si>
  <si>
    <t>Avser access som säljs eller hyrs ut till annan operatör, dvs. som grossistprodukt.</t>
  </si>
  <si>
    <t>Avser accesser som ni säljer någon tjänst till slutkunden (privat- eller företagskunder) över och där accessen ingår i tjänsten, (t.ex. bredband).</t>
  </si>
  <si>
    <t xml:space="preserve">Som direkta kunder betraktas dock kunder till tjänstetillhandahållare som ägs till minst 50 procent av nätoperatören själv. </t>
  </si>
  <si>
    <t>Ange utgående taltrafikminuter, oavsett om de är debiterade eller ej. Taltrafikminuter från kontantkort redovisas under privat.</t>
  </si>
  <si>
    <t>Samtal från kontantkort redovisas under privat.</t>
  </si>
  <si>
    <t>SMS och MMS skickade från kontantkort redovisas under privat.</t>
  </si>
  <si>
    <t>Exkludera de tjänstetillhandahållare som ägs till 50 procent eller mer av nätoperatören själv. Inkludera övriga tjänstetillhandahållare och MVNO:s.</t>
  </si>
  <si>
    <t>Inklusive samtliga engångsavgifter, fasta och rörliga avgifter.</t>
  </si>
  <si>
    <t>Avser både nationellt och internationellt inkommande trafik.</t>
  </si>
  <si>
    <t>Intäkter för både abonnemangen och trafiken.</t>
  </si>
  <si>
    <t>Avser bruttointäkter, dvs. före eventuell kvittning.</t>
  </si>
  <si>
    <t>Observera att trafik som terminerar i ert fasta nät också skall anges här. Innehar ni endast ett fast, alternativt mobilnät, bortser ni ifrån det andra.</t>
  </si>
  <si>
    <t>Abonnemanget räknas som analogt om den signal som ditribueras till det enskilda hushållet är analog.</t>
  </si>
  <si>
    <t>Abonnemanget räknas som digitalt om den signal som distribueras  till det enskilda hushållet är digital.</t>
  </si>
  <si>
    <t xml:space="preserve">Med LAN-nät avses fast anslutning (lokalt nätverk, fastighetsnät) vanligtvis baserat på Ethernet-teknik. LAN:et förbinds med ett publikt fibernät, exempelvis ett områdesnät. </t>
  </si>
  <si>
    <t>Antingen via avtal direkt med hushåll/slutkund eller indirekt, via fastighetsägare eller liknande sammanslutningar (t.ex. bostadsrättsföreningar).</t>
  </si>
  <si>
    <t>Från mobil datatrafik:</t>
  </si>
  <si>
    <t>Totalt antal abonnemang:</t>
  </si>
  <si>
    <t>Fotnoter</t>
  </si>
  <si>
    <t xml:space="preserve">  varav till egna slutkunder:</t>
  </si>
  <si>
    <t xml:space="preserve">Samråd med Näringslivets Regelnämnd, NNR, har skett i enlighet med samrådsförordningen (SFS 1982:668) 
</t>
  </si>
  <si>
    <t>Iptv via xDSL</t>
  </si>
  <si>
    <t xml:space="preserve">     varav 100 Mbit/s och över:</t>
  </si>
  <si>
    <t>varav 30 Mbit/s och över samt under 100 Mbit/s:</t>
  </si>
  <si>
    <t xml:space="preserve">     varav 30 Mbit/s och över samt under 100 Mbit/s:</t>
  </si>
  <si>
    <t>Quadruple-play:</t>
  </si>
  <si>
    <t>Trafik från och till kontantkort redovisas som privat</t>
  </si>
  <si>
    <t>Avser abonnemang som omfattar både själva telefoniaccessen och samtalstrafiken (alltså inte förval).</t>
  </si>
  <si>
    <t>LTE (Long Term Evolution). Den benämns även 4G, fjärde generationens mobila nät.</t>
  </si>
  <si>
    <t xml:space="preserve">Totalt </t>
  </si>
  <si>
    <r>
      <t xml:space="preserve">Samtrafik fast &amp; mobil </t>
    </r>
    <r>
      <rPr>
        <i/>
        <sz val="10"/>
        <rFont val="Arial"/>
        <family val="2"/>
      </rPr>
      <t>(access, terminering, transitering):</t>
    </r>
  </si>
  <si>
    <r>
      <t xml:space="preserve">Andra fasta avgifter </t>
    </r>
    <r>
      <rPr>
        <i/>
        <sz val="10"/>
        <rFont val="Arial"/>
        <family val="2"/>
      </rPr>
      <t>(installationsavgifter, flyttavgifter m.m.):</t>
    </r>
  </si>
  <si>
    <r>
      <t xml:space="preserve">Terminering av </t>
    </r>
    <r>
      <rPr>
        <u/>
        <sz val="10"/>
        <rFont val="Arial"/>
        <family val="2"/>
      </rPr>
      <t>internationellt</t>
    </r>
    <r>
      <rPr>
        <sz val="10"/>
        <rFont val="Arial"/>
        <family val="2"/>
      </rPr>
      <t xml:space="preserve"> inkommande rösttrafik:</t>
    </r>
  </si>
  <si>
    <t xml:space="preserve">Endast de delar av intäkterna som tillfaller operatören ska redovisas. Intäkter som tillfaller tredjepart exkluderas. </t>
  </si>
  <si>
    <t xml:space="preserve">Här avses den form av ip-baserad telefoni där telefonsamtal som rings av en abonnent till ip-baserad telefoni, ska kunna nå, och bli nådd av, telefoner kopplade till PSTN- och ISDN-näten. Även PBX:er som ansluts via ip-protokoll ska inkluderas. Exkludera internettelefoni utan möjlighet att ringa vanliga telefonnummer och som saknar anslutning till det traditionella telefonnätet. </t>
  </si>
  <si>
    <t>Avser ip-telefoniabonnemang där accessformen inte är känd</t>
  </si>
  <si>
    <t>Samtal från nationella fasta nät till mobilnät:</t>
  </si>
  <si>
    <t>Utgående och inkommande trafik för mobila datatjänster (Gbyte):</t>
  </si>
  <si>
    <t>varav intäkter från internettrafik:</t>
  </si>
  <si>
    <t>varav antal trafikminuter från internettrafiktrafik:</t>
  </si>
  <si>
    <t>varav antal trafikminuter från internettrafik:</t>
  </si>
  <si>
    <t>Samtal från nationella fasta nät till internationella fasta och mobila nät:</t>
  </si>
  <si>
    <t>Varav intäkter från kontraktsabonnemang</t>
  </si>
  <si>
    <t>Fråga 0</t>
  </si>
  <si>
    <t>Rörliga avgifter</t>
  </si>
  <si>
    <t xml:space="preserve">Ett ISDN-abonnemang är liktydigt med en huvudledning till egen slutkund bestående antingen av basic rate eller primary rate ISDN. Vanligtvis är den operatör som har abonnemangskunder ägare av huvudledningen, alternativt hyr operatören huvudledningen av en nätoperatör eller köper en grossistprodukt för telefoniabonnemang.  En indirekt ansluten kund, dvs. kund ansluten via GTA, förvalskund eller prefixkund, ska inte medräknas här.                                        </t>
  </si>
  <si>
    <t>Avser aktiva förvalskunder där kunden är indirekt ansluten. Med aktiv avses att kunden har ringt minst ett samtal under det senaste kvartalet i perioden. Observera att om en kund har olika förval för nationella samtal och internationella samtal så motsvarar detta endast en kund. Motsvarar engelskans Carrier PreSelect (CPS). Avser förval för både PSTN och ISDN.</t>
  </si>
  <si>
    <t xml:space="preserve">Avser samtal från / med förbetalt telefonkort från telefonautomat (både nationella och internationella samtal); samtal med delad kostnad (077-); nummerupplysningstjänst (118 XYZ); betalteletjänst och massanropstjänst (0900-, 0939-, 0944- och 099-).  
Avser även frisamtalstjänster och tilläggs- och mervärdestjänster. Exempel på tilläggstjänster är väckning, röstbrevlåda, samtalsspecifikation, telesvar, nummerpresentation, spärr, vidarekoppling, direkt uppringning, repetition av senast slagna nummer, kortnummer.
</t>
  </si>
  <si>
    <t xml:space="preserve">Som direkt anlutna kunder betraktas dock kunder till tjänstetillhandahållare som ägs till minst 50 procent av nätoperatören själv. </t>
  </si>
  <si>
    <t xml:space="preserve">Inkludera även de med abonnemang för taltjänst som även har abonnemang på data men som inte använt sin data-access minst en gång under det senaste kvartalet i perioden eller inte betalat abonnemangsavgift för det under det senaste kvartalet i perioden.  </t>
  </si>
  <si>
    <t>Exklusive intäkter från innehållet i premium-SMS.</t>
  </si>
  <si>
    <t>Exklusive aktiva kontantkort, SMS, MMS, mobila mervärdestjänster, samtrafik, internationell roaming i utlandet, machine-to-machine (redovisas separat) och koncerninterna intäkter. Även tilläggsavgifter eller annan avbetalning för rabatterade mobiltelefoner ska exkluderas. Intäkter från kontantkort redovisas under privat. Intäkter från tillämpningsprogram som t.ex mobila applikationer ("appar") ska inte inkluderas.</t>
  </si>
  <si>
    <t>Här avses SMS som sänds från mobilterminal. Även SMS som sänds utan att de debiteras per styck (de som ingår i abonnemang av typen 3 000 fria sms). Person-till-person</t>
  </si>
  <si>
    <t xml:space="preserve">Internetaccess nås via ett fastighetsnät, dvs. ett LAN (lokalt nätverk) vanligtvis baserat på Ethernet-teknik. Fastighetsnätet förbinds till ett publikt fibernät, exempelvis ett områdesnät. Fastighetsnätet som kan bestå av optisk fiberkabel eller kopparbaserad kabel förbinder de enskilda bostäderna/verksamheterna som via en anslutningspunkt i fastigheten i sin tur står i kontakt med områdesnäten. </t>
  </si>
  <si>
    <t>Avtalet om abonnemang  kan ha tecknats direkt med hushåll/slutkund eller indirekt via fastighetsägare eller liknande sammanslutningar (t.ex. bostadsrättsföreingar). Abonnemanget anses vara aktivt om betalning av abonnemangsavgift skett under det senaste kvartalet i perioden</t>
  </si>
  <si>
    <t>därav VDSL 30 Mbit/s och över samt under 60 Mbit/s</t>
  </si>
  <si>
    <t>därav VDSL 60 Mbit/s och över samt under 100 Mbit/s</t>
  </si>
  <si>
    <t>Fasta avgifter</t>
  </si>
  <si>
    <t>varav samtal från GSM-nät:</t>
  </si>
  <si>
    <t>Skriv in månad:</t>
  </si>
  <si>
    <t xml:space="preserve">     varav 1000 Mbit/s och över:</t>
  </si>
  <si>
    <t>Fast telefoni och fast bredband:</t>
  </si>
  <si>
    <t>varav från PSTN-abonnemang</t>
  </si>
  <si>
    <t>varav från ISDN-abonnemang</t>
  </si>
  <si>
    <t>varav övriga abonnemang</t>
  </si>
  <si>
    <t>Utgående samtal från mobiltelefon till internationella fasta och mobila nät:</t>
  </si>
  <si>
    <t>Utgående samtal från mobiltelefon till övriga telefonitjänster:</t>
  </si>
  <si>
    <t>I annan nätinfrastruktur, ange vad under kommentar:</t>
  </si>
  <si>
    <t>Inkludera samtliga intäkter som är hänförliga till abonnemang på ett grundpaket: löpande abonnemangsavgifter, startavgifter, uthyrning eller försäljning av digital-tv-boxar och programkort.</t>
  </si>
  <si>
    <t>Totala intäkter för våglängdsförbindelser:</t>
  </si>
  <si>
    <t>Terminering av inkommande M2M-trafik:</t>
  </si>
  <si>
    <t>varav från IP-baserade abonnemang</t>
  </si>
  <si>
    <t>varav trafikminuter från ip-telefoni:</t>
  </si>
  <si>
    <t xml:space="preserve">         varav intäkter från ip-telefoni:</t>
  </si>
  <si>
    <t>varav samtal från ip-telefoni:</t>
  </si>
  <si>
    <t>Annan fast internetaccess (ange vad under kommentarer) :</t>
  </si>
  <si>
    <t>Totalt antal triple-play-abonnemang:</t>
  </si>
  <si>
    <t>Totalt antal double-play-abonnemang:</t>
  </si>
  <si>
    <t>Totalt antal quadruple-play-abonnemang:</t>
  </si>
  <si>
    <t>Totalt (double-play, triple-play och quadruple-play):</t>
  </si>
  <si>
    <t>Vet inte</t>
  </si>
  <si>
    <r>
      <t xml:space="preserve">Antal utgående trafikminuter från mobiltelefon </t>
    </r>
    <r>
      <rPr>
        <i/>
        <sz val="10"/>
        <rFont val="Arial"/>
        <family val="2"/>
      </rPr>
      <t>(</t>
    </r>
    <r>
      <rPr>
        <sz val="10"/>
        <rFont val="Arial"/>
        <family val="2"/>
      </rPr>
      <t>tusental</t>
    </r>
    <r>
      <rPr>
        <i/>
        <sz val="10"/>
        <rFont val="Arial"/>
        <family val="2"/>
      </rPr>
      <t>):</t>
    </r>
  </si>
  <si>
    <r>
      <rPr>
        <b/>
        <sz val="10"/>
        <rFont val="Arial"/>
        <family val="2"/>
      </rPr>
      <t>Digitala abonnemang i kabel-tv-nä</t>
    </r>
    <r>
      <rPr>
        <sz val="10"/>
        <rFont val="Arial"/>
        <family val="2"/>
      </rPr>
      <t xml:space="preserve">t där ni har avtal direkt (dvs. en direkt fakturarelation) med hushåll som i sin tur även har avtal om </t>
    </r>
    <r>
      <rPr>
        <b/>
        <sz val="10"/>
        <rFont val="Arial"/>
        <family val="2"/>
      </rPr>
      <t xml:space="preserve">analogt </t>
    </r>
    <r>
      <rPr>
        <sz val="10"/>
        <rFont val="Arial"/>
        <family val="2"/>
      </rPr>
      <t>grundabonnemang via fastighetsägare:</t>
    </r>
  </si>
  <si>
    <t>Lager-2-produkter avser digitala accesser som tillhandahålls till grossistkund som förmedlar trafik baserat på lager-2-protokoll (OSI-modellen), t.ex. Ethernet med MAC-adressering.</t>
  </si>
  <si>
    <t>Lager-3-produkter avser digitala accesser som tillhandahålls till grossistkund som förmedlar trafik baserat på lager-3-protokoll (OSI-modellen) t.ex. IP med IP-adressering.</t>
  </si>
  <si>
    <t>Återförsäljarprodukter avser digital access som kan säljas som slutkundsprodukt där den köpande operatören i princip bara behöver vara delaktig för att leverera tjänsten, t.ex. generera användarkonton och som autentiserar kunderna vid inloggning, exempelvis såsom tjänsten TeliaSonera IP Stream.</t>
  </si>
  <si>
    <t>totalt</t>
  </si>
  <si>
    <t>Exklusive abonnemangsavgifter från xDSL, fasta avgifter för mervärdestjänster och tilläggstjänster (se definition nedan).</t>
  </si>
  <si>
    <t>Inkluderar inte samtal till uppringd internetaccess (se nedan), samtal till mobilnät, frisamtal, samtal med delad kostnad, betaltele- och massanropstjänster eller nummerupplysningstjänst.</t>
  </si>
  <si>
    <t xml:space="preserve">För att kontantkort ska anses som aktivt gäller att de ska ha fyllts på, eller genererat (utgående eller inkommande) trafik (minuter eller data) eller intäkter under det senaste kvartalet i perioden, samtliga kontantkort redovisas under privat. </t>
  </si>
  <si>
    <t>Med LAN-nät avses fast anslutning (lokalt nätverk, fastighetsnät) vanligtvis baserat på Ethernet-teknik. LAN:et förbinds med ett publikt fibernät, exempelvis ett områdesnät. Med fiber och fiber-LAN avses FTTH (fibre to the home) och FTTB (fibre to the basement)</t>
  </si>
  <si>
    <t xml:space="preserve">Local Loop Unbundling, dvs. tillträde för andra operatörer till konventionella abonnentledningar via det reglerade tillträdet i form av LLUB (fullt eller delat tillträde). </t>
  </si>
  <si>
    <t xml:space="preserve">Med fastighetsägare avses avtal med fastighetsägare till flerfamiljshus eller liknande sammanslutningar (t.ex. bostadsrättsföreningar). Det innebär att fastighetsägaren inte är densamma som hushållet som bor där. </t>
  </si>
  <si>
    <r>
      <t>Avser bundlingsprodukter där abonnenten köper minst</t>
    </r>
    <r>
      <rPr>
        <sz val="10"/>
        <color rgb="FFFF0000"/>
        <rFont val="Arial"/>
        <family val="2"/>
      </rPr>
      <t xml:space="preserve"> </t>
    </r>
    <r>
      <rPr>
        <sz val="10"/>
        <rFont val="Arial"/>
        <family val="2"/>
      </rPr>
      <t>1 Gbyte datatrafik. I praktiken innebär det smartphones som används för både samtal och mobilt bredband.</t>
    </r>
  </si>
  <si>
    <r>
      <t xml:space="preserve">Avser slutkundsmarknaden (retail), dvs. försäljningen sker till slutanvändare. Grossistförsäljning (wholesale), dvs. försäljning som sker till teleoperatörer (avser både operatörer inom samma koncern och externa operatörer) för vidareförsäljning- eller förädling - </t>
    </r>
    <r>
      <rPr>
        <u/>
        <sz val="10"/>
        <rFont val="Arial"/>
        <family val="2"/>
      </rPr>
      <t>ska inte tas med</t>
    </r>
    <r>
      <rPr>
        <sz val="10"/>
        <rFont val="Arial"/>
        <family val="2"/>
      </rPr>
      <t xml:space="preserve">. Tjänster som säljs till egen verksamhet för eget bruk (dvs. då den egna verksamheten är slutkund) </t>
    </r>
    <r>
      <rPr>
        <u/>
        <sz val="10"/>
        <rFont val="Arial"/>
        <family val="2"/>
      </rPr>
      <t>ska</t>
    </r>
    <r>
      <rPr>
        <sz val="10"/>
        <rFont val="Arial"/>
        <family val="2"/>
      </rPr>
      <t xml:space="preserve"> dock ingå i slutkundsmarknaden.</t>
    </r>
  </si>
  <si>
    <r>
      <t xml:space="preserve">Local Loop Unbundling, dvs. tillträde för andra operatörer till konventionella abonnentledningar via det </t>
    </r>
    <r>
      <rPr>
        <u/>
        <sz val="10"/>
        <rFont val="Arial"/>
        <family val="2"/>
      </rPr>
      <t>reglerade</t>
    </r>
    <r>
      <rPr>
        <sz val="10"/>
        <rFont val="Arial"/>
        <family val="2"/>
      </rPr>
      <t xml:space="preserve"> tillträdet i form av LLUB (fullt eller delat tillträde). </t>
    </r>
  </si>
  <si>
    <t>Totalt antal abonnemang</t>
  </si>
  <si>
    <t>Med aktivt abonnemang avses det abonnemang som använt sin access minst en gång under det senaste kvartalet i perioden (gäller endast de kunder som inte betalar abonnemangsavgift). Om kunden betalar abonnemangsavgift anses kunden vara aktiv om betalning skett under det senaste kvartalet i perioden. Ifall en bostadsrättsförening eller motsvarande är slutkund ska antalet bakomliggande aktiva internetaccesser anges under privat istället för antalet abonnemang. OBS! här avses endast slutkunder till ISP:er. Operatörer som enbart tillhandahåller en bredbandsaccess utan internettjänst ska inte inkludera dessa kunder.</t>
  </si>
  <si>
    <t>Analoga kapacitetstjänster till slutkund:</t>
  </si>
  <si>
    <t>Inklusive intäkter från mobilt bredband.</t>
  </si>
  <si>
    <t>Endast taltrafik. Intäkter från SMS, MMS, machine-to-machine (redovisas separat), mobil datatrafik och mobilt bredband ska inte inräknas.</t>
  </si>
  <si>
    <t>Totalt intäkter för svartfiberförbindelser:</t>
  </si>
  <si>
    <t>Med IP-VPN avses följande standarder: IPsec VPN, IP MPLS VPN och IP SSL VPN. Access till IP-VPN-tjänster kan ske antingen via hyrda förbindelser eller uppringda anslutningar. I intäkterna ska fråndras kostnader för uppringd access (ISDN/PSTN).</t>
  </si>
  <si>
    <r>
      <rPr>
        <b/>
        <sz val="10"/>
        <rFont val="Arial"/>
        <family val="2"/>
      </rPr>
      <t>Digitala abonnemang i kabel-tv-nät</t>
    </r>
    <r>
      <rPr>
        <sz val="10"/>
        <rFont val="Arial"/>
        <family val="2"/>
      </rPr>
      <t xml:space="preserve"> där ni har avtal direkt (dvs. en direkt fakturarelation) med hushåll som i sin tur även har avtal om </t>
    </r>
    <r>
      <rPr>
        <b/>
        <sz val="10"/>
        <rFont val="Arial"/>
        <family val="2"/>
      </rPr>
      <t xml:space="preserve">digitalt </t>
    </r>
    <r>
      <rPr>
        <sz val="10"/>
        <rFont val="Arial"/>
        <family val="2"/>
      </rPr>
      <t>grundabonnemang via fastighetsägare:</t>
    </r>
  </si>
  <si>
    <t>Antal abonnemang</t>
  </si>
  <si>
    <t>Totalt antal internetabonnemang som är gruppanslutningar:</t>
  </si>
  <si>
    <t>varav intäkter från hushåll:</t>
  </si>
  <si>
    <t>Iptv - via annan infrastruktur (ange vad under kommentar):</t>
  </si>
  <si>
    <t>Tv via markknät:</t>
  </si>
  <si>
    <t>Utgående taltrafik från mobiltelefon till nationellt mobilnät:</t>
  </si>
  <si>
    <t>Utgående taltrafik från mobiltelefon till nationellt fastnät:</t>
  </si>
  <si>
    <t>Utgående taltrafikminut från mobiltelefon till internationella fasta och mobila nät:</t>
  </si>
  <si>
    <t>Utgående taltrafikminut från mobiltelefon till övriga telefonitjänster:</t>
  </si>
  <si>
    <t>Totalt antal taltrafikminuter för mobil telefoni:</t>
  </si>
  <si>
    <t>varav taltrafikminuter från GSM-nät:</t>
  </si>
  <si>
    <t>Kanalisation</t>
  </si>
  <si>
    <t xml:space="preserve">     varav 100 Mbit/s och över samt under 250 Mbits</t>
  </si>
  <si>
    <t xml:space="preserve">     varav 250 Mbit/s och över samt under 500 Mbit/s</t>
  </si>
  <si>
    <t xml:space="preserve">     varav 100 Mbit/s och över samt under 250 Mbit/s:</t>
  </si>
  <si>
    <t xml:space="preserve">     varav 250 Mbit/s och över samt under 500 Mbit/s:</t>
  </si>
  <si>
    <t xml:space="preserve">     varav 500 Mbit/s och över samt under 1000 Mbit/s:</t>
  </si>
  <si>
    <t>xDSL - abonnemang som är gruppanslutningar</t>
  </si>
  <si>
    <t>Kabel-tv - abonnemang som är gruppanslutningar</t>
  </si>
  <si>
    <t>Fiber och fiber-LAN  - abonnemang som är gruppanslutningar</t>
  </si>
  <si>
    <t>varav taltrafikminuter från UMTS-nät:</t>
  </si>
  <si>
    <t>Internetaccess och internettjänster:</t>
  </si>
  <si>
    <t>MMS:</t>
  </si>
  <si>
    <t>varav  från abonnemang för enbart  enbart mobil data:</t>
  </si>
  <si>
    <t>Mobila samtals- och datatjänster:</t>
  </si>
  <si>
    <t>DIGITALA KAPACITETSTJÄNSTER TILL GROSSISTKUNDER</t>
  </si>
  <si>
    <t>Intäkter för TDM-baserade kapacitetstjänster (SDH/PDH)</t>
  </si>
  <si>
    <t>Intäkter för eventuella övriga digitala kapacitetstjänster</t>
  </si>
  <si>
    <t>Avser tillhandahållade av högkvalitativa kapacitetstjänster med icke-dedikerad kapacitet med eller utan möjlighet till QoS</t>
  </si>
  <si>
    <t xml:space="preserve">Avser intäkter från försäljning av högkvalitativa kapacitetstjänster till den egna koncernen. I det fall koncernintern försäljning inte särredovisas ska intäktsvärdet uppskattas. </t>
  </si>
  <si>
    <t>Avser intäkter från försäljning av högkvalitativa kapacitetstjänster till externa operatörskunder.</t>
  </si>
  <si>
    <t>Högkvalitativa kapacitetstjänster med dedikerad kapacitet samt icke-dedikerad kapacitet med eller utan möjlighet till QoS som tillhandahålls mellan en fast nätanslutningspunkt hos en slutkunds verksamhetsställe och en överlämningspunkt, där grossistkunden kan ta emot överföringen i sitt nät. Med högkvalitativa kapacitetstjänster avses kapacitetstjänster med specificerad kvalitet, tillgänglighet eller servicenivå och som kan användas för att ansluta ett företags verksamhetsställe för tjänsterna telefoni,internet och företagsintern kommunikation.</t>
  </si>
  <si>
    <t>Intäkter från försäljning av högkvalitativa kapacitetstjänster för vidareförsäljning eller förädling som produceras över egen eller hyrd passiv accessinfrastruktur. Försäljning som sker till slutanvändare (dvs. retail) - ska inte tas med. Inte heller ska högkvalitativa kapacitetstjänster som säljs till egen verksamhet där den egna verksamheten är slutkund ingå i grossistmarknaden.</t>
  </si>
  <si>
    <t>varav 100 Mbit/s och över:</t>
  </si>
  <si>
    <r>
      <t>Övriga telekomrelaterade intäkter</t>
    </r>
    <r>
      <rPr>
        <i/>
        <sz val="10"/>
        <rFont val="Arial"/>
        <family val="2"/>
      </rPr>
      <t xml:space="preserve"> (från varu- och tjänsteförsäljning m.m.):</t>
    </r>
  </si>
  <si>
    <r>
      <t>Fasta nättjänster</t>
    </r>
    <r>
      <rPr>
        <i/>
        <sz val="10"/>
        <rFont val="Arial"/>
        <family val="2"/>
      </rPr>
      <t xml:space="preserve"> (fast telefoni, nätkapacitet och andra nätverkstjänster m.m):</t>
    </r>
  </si>
  <si>
    <t xml:space="preserve">  varav i kabel-tv nät </t>
  </si>
  <si>
    <t>Tv och fast bredband:</t>
  </si>
  <si>
    <t>Fast telefoni och fast bredband och tv:</t>
  </si>
  <si>
    <t>För aktiva UMTS- och LTE-abonnemang gäller att de ska ha genererat trafik (minuter eller data) i UMTS-, eller LTE-näten under det senaste kvartalet i perioden.</t>
  </si>
  <si>
    <t xml:space="preserve">Avser endast de intäkter och trafikminuter för terminering av samtal som tillfaller tjänstetillhandahållaren. </t>
  </si>
  <si>
    <t>Avgifter</t>
  </si>
  <si>
    <t>Avser tillhandahållande av TDM- PDH- och SDH-baserade hyrda förbindelser som en separat tjänst</t>
  </si>
  <si>
    <t>Avser Ethernet-baserade icke överbokade hyrda förbindelser baserade på SHDSL- eller fiberaccess mellan fast nätanslutningspunkter som en separat tjänst.</t>
  </si>
  <si>
    <t>varav samtal från UMTS-nät:</t>
  </si>
  <si>
    <t>M2M = machine-to-machine</t>
  </si>
  <si>
    <t>Inklusive intäkter för terminering av samtal till eventuella tjänstetillhandahållares abonnenter i den mån dessa intäkter inte tillfaller tjänstetillhandahållaren.</t>
  </si>
  <si>
    <t xml:space="preserve">Inklusive trafikminuter för terminering av samtal till eventuella tjänstetillhandahållares abonnenter i den mån denna trafik inte tillfaller tjänstetillhandahållaren. </t>
  </si>
  <si>
    <t>LÄGENHETSANSLUTNINGAR (gäller också villor)</t>
  </si>
  <si>
    <t>varav i drift och såld till grossistkund:</t>
  </si>
  <si>
    <t>varav i drift  och såld till grossistkund:</t>
  </si>
  <si>
    <t>Kontaktperson för området datakommunikationstjänster till slutkund är Lars-Erik Axelsson, tel 08-678 55 00</t>
  </si>
  <si>
    <t>Fast telefoni och fast bredband och tv och mobiltelefoni/mobilt bredband:</t>
  </si>
  <si>
    <t>BYGGNADS- OCH LÄGENHETSANSLUTNINGAR SAMT VIRTUELLA ACCESSFÖRBINDELSER</t>
  </si>
  <si>
    <t>Totalt antal byggnadsanslutningar i egen nätinfrastruktur:</t>
  </si>
  <si>
    <t xml:space="preserve">  varav för uthyrning till operatör:</t>
  </si>
  <si>
    <t xml:space="preserve">Grossistprodukt för telefonabonnemang. Avser återförsäljning enligt avtal som slutits med Telia Company såväl före som efter den 18 maj 2005. </t>
  </si>
  <si>
    <t>Avser mobilabonnemang som har fastnätsnummer som tilläggstjänst, t.ex. Telia Companys Mitt hemnummer och HI3G:s 3Hemnummer.</t>
  </si>
  <si>
    <t>Som erhållna bidrag räknas bidrag som erhållits från EU, stat, kommun och landsting samt andra bidragsgivare. Här avses alltså bidrag som företaget fått som stöd för den egentliga rörelsen och som redovisas som intäkt. Observera att även bidrag som har redovisats bland kostnaderna (som kostnadsminskning) ska ingå här (t.ex rekryteringsstöd).</t>
  </si>
  <si>
    <t>Med rörelsekostnader avses de kostnader som har förbrukats i företagets normala verksamhet. Rörelsens kostnader anges efter avdrag för erhållna rabatter. Det är totala rörelsekostnader före avskrivningar som ska anges. Observera att bidrag som redovisats bland rörelsekostnaderna (som en kostnadsminskning) inte ska ingå. Det är rörelsekostnadernas bruttovärde som vi är intresserade av. Inköp av handelsvaror ska vara inköp av varor som inte vidareförädlas inom företaget, dvs. inköp av varor för direkt vidareförsäljning. Om ni följer den kostnadsslagsindelade uppställningsformen avses här summan av: kostnader för råvaror/förnödenheter, kostnader för handelsvaror, övriga externa kostnader, personalkostnader, jämförelsestörande kostnader, övriga kostnader.       Om ni följer den funktionsindelade uppställningsformen avses här summan av: kostnad sålda varor/tjänster, försäljningskostnader, administrationskostnader, FoU-kostnader, jämförelsestörande kostnader och övriga rörelsekostnader.</t>
  </si>
  <si>
    <t>Byggnads- och lägenhetsanslutningar samt virtuella accessförbindelser:</t>
  </si>
  <si>
    <t>varav 10 Mbit/s och över samt under 30 Mbit/s:</t>
  </si>
  <si>
    <t>Metallbaserade (avser endast tvinnat kopparpar och besvaras i huvudsak av Telia Company):</t>
  </si>
  <si>
    <t>varav för uthyrning  till operatör (använda såväl som oanvända):</t>
  </si>
  <si>
    <t>varav till egna slutkunder (använda):</t>
  </si>
  <si>
    <t>varav oanvända (dvs. varken uthyrda till operatör eller till egna slutkunder):</t>
  </si>
  <si>
    <t>varav till slutkund (använda):</t>
  </si>
  <si>
    <t>FOTNOTER</t>
  </si>
  <si>
    <t>Med abonnemang avses kontraktabonnemang och kontantkort.  Kontantkort redovisas under privat och enligt 3-månadersregel (se definition för kontantkort). M2M ska inte inkluderas utan redovisas separat i fråga.</t>
  </si>
  <si>
    <t>Med utlandet avses här utländsk motpart (operatörer eller andra kunder och leverantörer). Alla intäkter/kostnader som uppstår vid samarbete med utländsk motpart. Här ingår även outbound/inbound roaming som går mot utländsk motpart.</t>
  </si>
  <si>
    <t>Avser inte slutkundstrafik. Slutkundstrafik redovisas i separat fråga.</t>
  </si>
  <si>
    <t xml:space="preserve">Mobilabonnemang som används för mobil data eller M2M ska inte redovisas här. </t>
  </si>
  <si>
    <t xml:space="preserve">I det fall hushållet har dubbla kabel-tv-abonnemang på ett grundpaket, där det ena tecknats indirekt via fastighetsägaren och det andra tecknats direkt med hushållet redovisas det analoga abonnemanget via fastighetsägaren under Analoga kabel-tv abonnemang via fastighetsägare och det digital abonnemanget som tecknats direkt med hushåll under ”Digitala abonnemang i kabel-tv-nät där ni har avtal direkt (dvs. en direkt fakturarelation) med hushåll som i sin tur även har avtal om analogt grundabonnemang via fastighetsägare:”. I det fall hushållet har dubbla kabel-tv abonnemang på grundpaket, där båda tecknats indirekt via fastighetsägaren, där det ena är ett digitalt kabel-tv- abonnemang på ett grundpaket och det andra ett analogt kabel-tv abonnemang på ett grundpaket så redovisas endast det digitala kabel-tv-abonnemanget på ett grundpaket via fastighetsägare.
I dessa fall redovisas inte det analoga kabel-tv-abonnemanget via fastighetsägare eftersom det då blir dubbelräkning.  
</t>
  </si>
  <si>
    <t>Summeringen "Antal abonnemang exklusive de kabel-tv-abonnemang som även har avtal via fastighetsägare" består av "Totalt antal abonnemang" -  "Digitala abonnemang (i kabel-tv-nät och/eller iptv via fiber) där ni har avtal direkt (dvs. en direkt fakturarelation) med hushåll som i sin tur även har avtal om grundabonnemang via fastighetsägare". Denna summering är en estmering på totalt antal hushåll.</t>
  </si>
  <si>
    <t>Med tilläggsabonnemang avses abonnemang där hushållen har enskilda avtal om tilläggstjänster som digital-tv med kanalpaket. Inkludera samtliga intäkter som är hänförliga till slutkundens köp av tilläggsabonnemang (kanaler eller paket över grundabonnemang): löpande avgifter, startavgifter, uthyrning eller försäljning av digital-tv-boxar och programkort. I tilläggspaketet ska inte intäkter för transaktionsbaserade VOD (video on demand) och pay-per-view vara med.</t>
  </si>
  <si>
    <t>Intäkter för Ethernet-baserade [8] kapacitetstjänster</t>
  </si>
  <si>
    <t>varav externt[10]</t>
  </si>
  <si>
    <t>Kommentar</t>
  </si>
  <si>
    <t>Totala intäkter för internetabonnemang:</t>
  </si>
  <si>
    <t>Fast telefoni och mobiltelefoni/mobilt bredband:</t>
  </si>
  <si>
    <t>Mobiltelefoni/mobilt bredband och fast bredband:</t>
  </si>
  <si>
    <t>Mobiltelefoni/mobilt bredband och tv:</t>
  </si>
  <si>
    <t>Fast telefoni och fast bredband och mobiltelefoni/mobilt bredband:</t>
  </si>
  <si>
    <t>Fast telefoni och mobiltelefoni/mobiltbredband och tv:</t>
  </si>
  <si>
    <t>Mobiltelefoni/mobilt bredband och fast bredband och tv:</t>
  </si>
  <si>
    <t>Totalt antal anslutningar</t>
  </si>
  <si>
    <t>De övriga flikarna/delarna besvaras om ni har sådan verksamhet. Fotnoter finns längst ner på varje flik.</t>
  </si>
  <si>
    <t>Övriga rörelseintäkter (hyra,licenser,bidrag[2] m.m.):</t>
  </si>
  <si>
    <t>Namn:</t>
  </si>
  <si>
    <t>Befattning:</t>
  </si>
  <si>
    <r>
      <t>OBS!</t>
    </r>
    <r>
      <rPr>
        <i/>
        <sz val="14"/>
        <rFont val="Garamond"/>
        <family val="1"/>
      </rPr>
      <t xml:space="preserve">  När ni svarat på frågorna här ovan, fyll i fråga </t>
    </r>
    <r>
      <rPr>
        <b/>
        <i/>
        <sz val="14"/>
        <rFont val="Garamond"/>
        <family val="1"/>
      </rPr>
      <t>1 till 6 och de avsnitt i frågeformuläret för vilka företaget har haft kommersiell verksamhet</t>
    </r>
    <r>
      <rPr>
        <i/>
        <sz val="14"/>
        <rFont val="Garamond"/>
        <family val="1"/>
      </rPr>
      <t xml:space="preserve"> (se flikarna för respektive kalkylblad). 
Om ni inte har haft verksamhet på någon av ovan nämnda delverksamheter, skicka då endast in svaren på fråga 1 till 6 och avsluta enkäten. </t>
    </r>
  </si>
  <si>
    <t>T.ex. via transmissionsprodukter från kommunikationsoperatörer eller rena återförsäljarprodukter</t>
  </si>
  <si>
    <r>
      <t xml:space="preserve">D.v.s. via </t>
    </r>
    <r>
      <rPr>
        <sz val="11"/>
        <color rgb="FF000000"/>
        <rFont val="Calibri"/>
        <family val="2"/>
      </rPr>
      <t xml:space="preserve">lokalt fysiskt </t>
    </r>
    <r>
      <rPr>
        <sz val="11"/>
        <rFont val="Calibri"/>
        <family val="2"/>
      </rPr>
      <t>tillträde för andra operatörer til</t>
    </r>
    <r>
      <rPr>
        <sz val="11"/>
        <color rgb="FF000000"/>
        <rFont val="Calibri"/>
        <family val="2"/>
      </rPr>
      <t>l svart fiber i fiberaccessnätet, där den hyrande operatören ansvarar för/äger den aktiva transmissionsutrustningen.</t>
    </r>
  </si>
  <si>
    <t>Här avses inte sampaketering med OTT-tjänster så som Spotify.</t>
  </si>
  <si>
    <t>Totalt antal virtuella accessförbindelser som ansluter slutkunder</t>
  </si>
  <si>
    <r>
      <rPr>
        <b/>
        <sz val="10"/>
        <rFont val="Arial"/>
        <family val="2"/>
      </rPr>
      <t>Virtuella accessförbindelser som ansluter slutkunder över annan infrastruktur</t>
    </r>
    <r>
      <rPr>
        <sz val="10"/>
        <rFont val="Arial"/>
        <family val="2"/>
      </rPr>
      <t>, 
ange typ av passivt nät och ledningsmedium under kommentar:</t>
    </r>
  </si>
  <si>
    <r>
      <t xml:space="preserve">Virtuella accessförbindelser som ansluter slutkunder över koaxialkabel </t>
    </r>
    <r>
      <rPr>
        <sz val="10"/>
        <rFont val="Arial"/>
        <family val="2"/>
      </rPr>
      <t>(Kabel-tv nät):</t>
    </r>
  </si>
  <si>
    <r>
      <rPr>
        <b/>
        <sz val="10"/>
        <rFont val="Arial"/>
        <family val="2"/>
      </rPr>
      <t>Virtuella accessförbindelser som ansluter slutkunder över optisk fiber och/eller fiber-LAN,</t>
    </r>
    <r>
      <rPr>
        <sz val="10"/>
        <rFont val="Arial"/>
        <family val="2"/>
      </rPr>
      <t xml:space="preserve"> med fiber som går hela vägen fram till hushåll eller som ansluter via fastighetsnät (Cat4/6). </t>
    </r>
  </si>
  <si>
    <t>Virtuella accessförbindelser som ansluter slutkunder över parkabel av koppar (xDSL).</t>
  </si>
  <si>
    <r>
      <t xml:space="preserve">Med virtuella accessförbindelser avses kundanslutningar för bredband som skapas med aktiva nätutrustningar, t.ex. en DSLAM i anslutningsnod och ett ADSL-modem hos slutkund, över ett passivt nät (eget eller annans). PTS behöver information om det totala antalet aktiva kundanslutningar fördelat på olika typer av passiva nät. PTS behöver också veta om dessa aktiva kundanslutningar används för att tillhandahålla egna slutkundstjänster, eller om de säljs till en grossistkund för vidareförädling.
</t>
    </r>
    <r>
      <rPr>
        <b/>
        <sz val="10"/>
        <rFont val="Verdana"/>
        <family val="2"/>
      </rPr>
      <t>OBS!</t>
    </r>
    <r>
      <rPr>
        <sz val="10"/>
        <rFont val="Verdana"/>
        <family val="2"/>
      </rPr>
      <t xml:space="preserve"> Endast den som producerar virtuella accessförbindelser, dvs. ansluter slutkund med egen aktiv nätutrustning, ska besvara frågan. Den som </t>
    </r>
    <r>
      <rPr>
        <b/>
        <i/>
        <sz val="10"/>
        <rFont val="Verdana"/>
        <family val="2"/>
      </rPr>
      <t>köper</t>
    </r>
    <r>
      <rPr>
        <sz val="10"/>
        <rFont val="Verdana"/>
        <family val="2"/>
      </rPr>
      <t xml:space="preserve"> en virtuell accessförbindelse eller återförsäljer tjänster där sådana förbindelser ingår ska </t>
    </r>
    <r>
      <rPr>
        <b/>
        <i/>
        <sz val="10"/>
        <rFont val="Verdana"/>
        <family val="2"/>
      </rPr>
      <t xml:space="preserve">inte </t>
    </r>
    <r>
      <rPr>
        <sz val="10"/>
        <rFont val="Verdana"/>
        <family val="2"/>
      </rPr>
      <t xml:space="preserve">svara på denna fråga.
</t>
    </r>
  </si>
  <si>
    <t>Inkludera endast abonnemang för taltjänst som även möjliggör överföring av mobildata och där data-accessen använts minst en gång under det senaste kvartalet i perioden eller där särskild avgift för mobildata betalats under det senaste kvartalet i perioden.  Här ingår även tilläggsabonnemang på data som köps till abonnemang med taltjänst och data.</t>
  </si>
  <si>
    <t xml:space="preserve">Inkludera abonnemang som i huvudsak används för mobildata och där data-accessen använts minst en gång under den senaste kvartalet i perioden eller där abonnemangsavgift betalats under det senaste kvartalet i perioden. Abonnemanget ska inte ha genererat några taltrafikminuter under det senaste kvartalet i perioden.  Avser mobilt bredband för abonnemang för routrar, donglar och surfplattor. </t>
  </si>
  <si>
    <r>
      <t xml:space="preserve">Uppgifter om kommersiell verksamhet och om anmälningspliktig verksamhet </t>
    </r>
    <r>
      <rPr>
        <b/>
        <i/>
        <sz val="12"/>
        <rFont val="Arial"/>
        <family val="2"/>
      </rPr>
      <t xml:space="preserve">(fråga 1 till 6) </t>
    </r>
    <r>
      <rPr>
        <b/>
        <sz val="12"/>
        <rFont val="Arial"/>
        <family val="2"/>
      </rPr>
      <t xml:space="preserve">besvaras av samtliga företag. </t>
    </r>
  </si>
  <si>
    <t>varav i drift för egna slutkunder:</t>
  </si>
  <si>
    <t>Totalt antal aktiva abonnemang nedströms:</t>
  </si>
  <si>
    <t>Totalt antal aktiva abonnemang uppströms:</t>
  </si>
  <si>
    <t xml:space="preserve"> Här avses både sampaketerade abonnemang som erbjuds och marknadsförs som ett erbjudande eller med en prislista för de sampaketerade tjänsterna och även tjänster som inte marknadsförs tillsammans som ett särskilt erbjudande exempelvis där en slutkund köper två eller fler tjänster separat, kan vara vid olika tillfällen. OBS! Ny formulering. Här avses inte sampaketering med OTT-tjänster så som Spotify.</t>
  </si>
  <si>
    <r>
      <rPr>
        <b/>
        <sz val="10"/>
        <rFont val="Arial"/>
        <family val="2"/>
      </rPr>
      <t>Iptv-abonnemang via fibernät</t>
    </r>
    <r>
      <rPr>
        <sz val="10"/>
        <rFont val="Arial"/>
        <family val="2"/>
      </rPr>
      <t xml:space="preserve"> där ni har avtal direkt (dvs. en direkt fakturarelation) med hushåll som i sin tur även har avtal om digitalt grundabonnemang via fastighetsägare.</t>
    </r>
  </si>
  <si>
    <t>Iptv via annan infrastruktur (ange vilken under kommentar):</t>
  </si>
  <si>
    <t>varav med mindre än 1 GB data</t>
  </si>
  <si>
    <t>varav med 1- 10 GB data</t>
  </si>
  <si>
    <t>varav med 11-20 GB data</t>
  </si>
  <si>
    <t>varav med 21-50 GB data</t>
  </si>
  <si>
    <t>varav med 201 GB data eller mer, dock begränsad datamängd</t>
  </si>
  <si>
    <t>varav med obegränsad data</t>
  </si>
  <si>
    <t>Summa antal mobiltelefoniabonnemang för både samtal och data, som är kontraktsabonnemang</t>
  </si>
  <si>
    <t>Summa antal mobiltelefoniabonnemang endast data som är kontraktsabonnemang</t>
  </si>
  <si>
    <t>varav taltrafikminuter från LTE-nät (VoLTE):</t>
  </si>
  <si>
    <t>varav samtal från LTE-nät (VoLTE):</t>
  </si>
  <si>
    <t>Kabel-tv uppströms:</t>
  </si>
  <si>
    <t>xDSL, PSTN, satellit, fast radio och annan fast internet access uppströms   :</t>
  </si>
  <si>
    <t>Kontaktperson för frågor om kanalisation är Krister Carlsson, tel 08-678 55 00</t>
  </si>
  <si>
    <t>varav taltrafik minuter i okänt nät:</t>
  </si>
  <si>
    <t>varav antal samtal i okänt nät:</t>
  </si>
  <si>
    <t>Uppringd access:</t>
  </si>
  <si>
    <t>Övriga accesstekniker (exkl. mobilt bredband):</t>
  </si>
  <si>
    <t>SVARTFIBER och VÅGLÄNGDSFÖRBINDELSER TILL SLUTKUNDER och GROSSISTKUNDER</t>
  </si>
  <si>
    <t>Rörelsens totala telekomintäkter:</t>
  </si>
  <si>
    <t xml:space="preserve">        varav inom fast telefoniverksamhet:</t>
  </si>
  <si>
    <t xml:space="preserve">        varav andra datorer och datorstyrd utrustning:</t>
  </si>
  <si>
    <t xml:space="preserve">        varav övrigt inom telekomverksamhet</t>
  </si>
  <si>
    <t>Telekomverksamhetens totala kostnader [5]:</t>
  </si>
  <si>
    <t xml:space="preserve">      varav inköp av varor och materiel exkl. handelsvaror:</t>
  </si>
  <si>
    <t xml:space="preserve">      varav främmande arbete (anlitade underentreprenörer, -konsulter):</t>
  </si>
  <si>
    <t xml:space="preserve">      varav löner, sociala avgifter och pensionskostnader:</t>
  </si>
  <si>
    <t xml:space="preserve">      varav kostnader för samtrafik (utnyttjande av andras nät):</t>
  </si>
  <si>
    <t xml:space="preserve">             - därav inköp av program och system till datorer:</t>
  </si>
  <si>
    <t>varav övriga kostnader gällande telekomverksamhet:</t>
  </si>
  <si>
    <t>Tillträde till fysisk infrastruktur t ex kanalisation</t>
  </si>
  <si>
    <t>Samordning av bygg- och anläggningsprojekt</t>
  </si>
  <si>
    <t>Förfrågan om information rörande t ex tillträde och/eller samordning</t>
  </si>
  <si>
    <t xml:space="preserve">Ledningskollen </t>
  </si>
  <si>
    <t>Egen hemsida</t>
  </si>
  <si>
    <t xml:space="preserve">Annan elektronisk tjänst (ange vilken i kommentar)  </t>
  </si>
  <si>
    <t>Tillträde till t ex kanalisation eller annan fysisk infrastruktur</t>
  </si>
  <si>
    <t>Information rörande t ex kanalisation/annan fysisk infrastruktur och/eller samordning</t>
  </si>
  <si>
    <t>Kontaktperson för frågor inom svartfiber och datakommunikationstjänster till grossistkunder är Lars-Erik Axelsson eller Andreas Wigren, tel 08-678 55 00</t>
  </si>
  <si>
    <t>varav med 51-200 GB data</t>
  </si>
  <si>
    <t>Investeringar i materiella anläggningstillgångar gällande telekomverksamhet:</t>
  </si>
  <si>
    <t>Datakomtjänster till operatör:</t>
  </si>
  <si>
    <t xml:space="preserve">I aktiv utrusting ingår routrar och switchar. </t>
  </si>
  <si>
    <r>
      <t xml:space="preserve">        varav investeringar i fasta bredbandsnät</t>
    </r>
    <r>
      <rPr>
        <i/>
        <strike/>
        <sz val="10"/>
        <rFont val="Arial"/>
        <family val="2"/>
      </rPr>
      <t xml:space="preserve"> </t>
    </r>
    <r>
      <rPr>
        <i/>
        <sz val="10"/>
        <rFont val="Arial"/>
        <family val="2"/>
      </rPr>
      <t>(inklusive passiv och aktiv utrustning [6]):</t>
    </r>
  </si>
  <si>
    <t xml:space="preserve">        varav inom mobilnät (investeringar i GSM, UMTS, LTE och 5G) :</t>
  </si>
  <si>
    <t>I fasta avgifter ingår extrasurf som kan köpas som en tilläggstjänst till ett mobilabonnemang (med eller utan tal) när datamängden tagit slut. Exkludera  tilläggsavgifter i form av förhöjd månadsavgift eller annan avbetalning för rabatterade mobiltelefoner (s.k. handheld revenue). Intäkter från kontantkort redovisas under privat.</t>
  </si>
  <si>
    <t xml:space="preserve">Ja </t>
  </si>
  <si>
    <t>Här ingår inte tvillingkort</t>
  </si>
  <si>
    <t>Mobiltelefoni och mobilt bredband [1]:</t>
  </si>
  <si>
    <t>DATAKOMMUNIKATIONSTJÄNSTER TILL SLUTKUND</t>
  </si>
  <si>
    <t>Svartfiber och våglängdsförbindelser till operatör och slutkund:</t>
  </si>
  <si>
    <t>Varav intäkter från abonnemang på enbart mobildata utan tal  (både fasta och rörliga avgifter)[32)</t>
  </si>
  <si>
    <t>Här ingår intäkter för extrasurf som kan köpas som en tilläggstjänst till ett mobilabonnemang med tal när datamängden tagit slut.</t>
  </si>
  <si>
    <t>Här ingår intäkter för extrasurf som kan köpas som en tilläggstjänst till ett mobilabonnemang utan tal när datamängden tagit slut.</t>
  </si>
  <si>
    <t>varav abonnemang på mobiltbredband - endast data [7]</t>
  </si>
  <si>
    <t xml:space="preserve">Med svartfiberförbindelser avses uthyrda optiska fiberförbindelser punkt-till-punkt, där fibern inte är upplyst. D.v.s. fysiska fiberledningar utan elektronisk utrustning. </t>
  </si>
  <si>
    <t>Här ska totala investeringar för att förvärva egendom (mark eller byggnader) och anläggning (kopplingsutrustning, maskinvara och programvara, kontorsmaskiner och motorfordon) ingå. Inkludera inte licenser.</t>
  </si>
  <si>
    <t>Totalt digitala kapacitetstjänster</t>
  </si>
  <si>
    <t>Totala investeringar i telekom (både materiella och immateriella) exklusive licensavgifter</t>
  </si>
  <si>
    <t>Om flera abonnemang delar på samma datamängd (ibland kallat familje-abonnemang) ska huvudabonnemanget rapporteras med hela data mängden och övriga rapporters "mindre än 1GB data"". Abonnemang med rörlig datamängd ska också rapporters under "mindre än 1 GB data". Ta inte med datatopup. Familjeabonnemang med obegränsad datamängd: Alla abonnemangen i familjenabonnemanget  läggs på obegränsat.</t>
  </si>
  <si>
    <t>Svensk telekommarknad 2019 med mera</t>
  </si>
  <si>
    <t>underlag till SMP-bedömningar, Svensk telekommarknad 2019</t>
  </si>
  <si>
    <t>officiell statistik om televerksamhet 2019  och underlag till Nationalräkenskaper.</t>
  </si>
  <si>
    <t>31 dec 2019</t>
  </si>
  <si>
    <t>december 2019</t>
  </si>
  <si>
    <t>Vilka verksamheter har ni sålt av sedan 31 december 2018?</t>
  </si>
  <si>
    <t xml:space="preserve">eSIM är en teknik som underlättar för slutanvändare att byta tillhandahållare av elektroniska kommunikationsnät och tjänster vilket är särskilt viktigt för tillhandahållare och slutanvändare av M2M-tjänster. Operatörernas introduktion av tekniken pågår och PTS avser att följa utvecklingen av detta. </t>
  </si>
  <si>
    <t>varav trafik i 4G-nät (GB)</t>
  </si>
  <si>
    <t>varav trafik i 5G-nät (GB)</t>
  </si>
  <si>
    <t>varav används i Sverige</t>
  </si>
  <si>
    <t>varav M2M som använder eSIM [34]</t>
  </si>
  <si>
    <t>Antal SMS från SIM-kort för M2M (tusental)</t>
  </si>
  <si>
    <t>Utgående och inkommande datatrafik från simkort för M2M (GB):</t>
  </si>
  <si>
    <t xml:space="preserve">     varav 500 Mbit/s och över samt under 1000 Mbit/s</t>
  </si>
  <si>
    <t>Om ni till exempel har angett antal abonnemang på en viss typ abonnemang på fråga 8 så behöver ni även ange och antal samtal på fråga 11 och trafikminuter på fråga 12 för den typen av abonnemang.</t>
  </si>
  <si>
    <t>Fråga 44:  Antal slutkunder med två eller fler tjänster. Här avses både sampaketerade abonnemang som erbjuds och marknadsförs som ett erbjudande eller med en prislista för de sampaketerade tjänsterna och även tjänster som inte marknadsförs tillsammans som ett särskilt erbjudande exempelvis där en slutkund köper två eller fler tjänster separat, kan vara vid olika tillfällen.  Per sista december 2019.</t>
  </si>
  <si>
    <t>senaste kvartalet 2019</t>
  </si>
  <si>
    <t>varav koncerninternt[9]</t>
  </si>
  <si>
    <t xml:space="preserve">Avser abonnemang på fast telefoni där slutkunden inte betalar någon minutavgift vid samtal till fasta och mobila nät i Sverige. Ur kostnadssynpunkt är det därmed inte av någon betydelse för slutkunden om samtal rings till ett geografiskt telefonnummer eller ett mobilnummer.   Endast inkludera de abonnemang som genererat trafik de senaste tre månaderna ingå. </t>
  </si>
  <si>
    <t>Övriga</t>
  </si>
  <si>
    <t>Totalt antal orginerade trafikminuter</t>
  </si>
  <si>
    <t>Kontaktperson för frågor är Lars Erik Axelsson eller Andreas Wigren, tel 08-678 55 00</t>
  </si>
  <si>
    <t>Lag (2016:534) om åtgärder för utbyggnad av bredbandsnät (utbyggnadslagen) har sedan juli 2016 varit tillämplig i Sverige. PTS önskar vid årets undersökning relaterat till fysisk infrastruktur som t ex kanalisation få in underlag som beskriver hur marknadens aktörer bedömer i vilken mån lagen tillämpas.</t>
  </si>
  <si>
    <t>varav intäkter från trafik orginerande utanför EU/EES</t>
  </si>
  <si>
    <t>ny rad</t>
  </si>
  <si>
    <t>Ta bort "eller i eget nät"</t>
  </si>
  <si>
    <t>Med transitering avses sådan trafik som originerar i eget nät och transiteras i annan operatörs nät för att sedan terminera i en tredje operatörs nät.</t>
  </si>
  <si>
    <t>Ändra till binärt. Enligt krav från EU.</t>
  </si>
  <si>
    <t>varav intäkter från trafik originerad utanför EU/EES</t>
  </si>
  <si>
    <t>D.nr: 19-11559</t>
  </si>
  <si>
    <t>varav intäkter för M2M som används i Sverige</t>
  </si>
  <si>
    <t>formulering</t>
  </si>
  <si>
    <t>Antal heltidsanställda inom telekomverksamheten den 31 dec 2019:  (35 tim / vecka eller mer):</t>
  </si>
  <si>
    <t>Antal deltidsanställda inom telekomverksamheten den 31 dec 2019:</t>
  </si>
  <si>
    <t>Om du vill ändra förtryckta uppgifter om företagets namn eller organisationsnummer kan du markera detta nedan och ange nya uppgifter på nästa sida.</t>
  </si>
  <si>
    <t>Nytt</t>
  </si>
  <si>
    <t>Ta bort, kan ingå i övriga accesstekniker.</t>
  </si>
  <si>
    <t>Kontaktperson är Hans Christian Sundelin Svendsen,  HansChristian.SundelinSvendsen@pts.se, tel 08-678 55 00</t>
  </si>
  <si>
    <r>
      <t>Följande frågor behövs som underlag till SMP-analys angående högkvalitativt tillträde, marknad 4. Om ni inte säljer sådana tjänster utan t.ex. enbart tillhandahåller svartfiber så ska värdet ”0” anges på alla frågor. Med digitala kapacitetstjänster avses högkvalitativa kapacitetstjänster med specificerad kvalitet, tillgänglighet eller servicenivå och som kan användas för att ansluta ett företags verksamhetsställe för tjänsterna telefoni, internet och företagsintern  kommunikation (t.ex. VPN). Detta omfattar högkvalitativa kapacitetstjänster med dedikerad kapacitet samt icke-dedikerad kapacitet med eller utan möjlighet till QoS. Kapacitetstjänsten tillhandahålls mellan en fast nätanslutningspunkt hos en slutkunds verksamhetsställe och en överlämningspunkt, där grossistkunden kan ta emot överföringen i sitt nät.</t>
    </r>
    <r>
      <rPr>
        <b/>
        <sz val="9"/>
        <rFont val="Verdana"/>
        <family val="2"/>
      </rPr>
      <t xml:space="preserve">             OBS! Försäljning av kapacitet för mobilt backhaul ska inte inkluderas. Här ska inte heller grossistförsäljning av bredbandsanslutningar till konsumenter (kommunikationsoperatör-verksamhet) ingå.  
</t>
    </r>
  </si>
  <si>
    <t>Svar på frågeformuläret fylls i via ett webbaserat formulär. Svar ska lämnas senast 20 februari 2020.</t>
  </si>
  <si>
    <t xml:space="preserve">Vilka verksamheter har ni förvärvat sedan den 31 december 2018?  Ange om dessa ingår i denna rapportering eller inte. </t>
  </si>
  <si>
    <t>AVGIFTSGRUNDANDE OMSÄTTNING</t>
  </si>
  <si>
    <t>Formulering</t>
  </si>
  <si>
    <t xml:space="preserve">Vid frågor om avgiftsgrundande omsättning kontakta: anmalningsplikt@pts.se </t>
  </si>
  <si>
    <t>Avgiftsgrundande omsättning avser bolag:</t>
  </si>
  <si>
    <r>
      <t xml:space="preserve">Avgiftsgrundande omsättning i tusentals kronor (tkr)
</t>
    </r>
    <r>
      <rPr>
        <sz val="10"/>
        <rFont val="Arial"/>
        <family val="2"/>
      </rPr>
      <t>(exklusive koncernintern försäljning)</t>
    </r>
    <r>
      <rPr>
        <b/>
        <sz val="10"/>
        <rFont val="Arial"/>
        <family val="2"/>
      </rPr>
      <t xml:space="preserve">
</t>
    </r>
  </si>
  <si>
    <t xml:space="preserve">Summa intäkter i Svensk telekommarknad exklusive TV-abonnemang (tusentals kronor): </t>
  </si>
  <si>
    <t>(kommer automatiskt  sist i webbformuläret)</t>
  </si>
  <si>
    <t>varav trafikminuter från trafik orginerande utanför EU/EES</t>
  </si>
  <si>
    <t>Uthyrning av nät för MVNO/Reseller-verksamhet. Ska besvaras av aktörer som hyr ut nät för MVNO- eller resellerverksamhet.</t>
  </si>
  <si>
    <t>varav trafikminuter till EU/ESS:</t>
  </si>
  <si>
    <t xml:space="preserve">ta bort </t>
  </si>
  <si>
    <t>ny rad Eurorate</t>
  </si>
  <si>
    <t>ny radEurorate</t>
  </si>
  <si>
    <t>Formulering ändrad</t>
  </si>
  <si>
    <t>Vilka bolag, utöver ovan nämnda, ingår i de helårsuppgifter som ni rapporterar in? Ange namn och organisationsnummer</t>
  </si>
  <si>
    <t>Formulering ändrad.</t>
  </si>
  <si>
    <t>Fråga 3: Antal anställda inom telekomverksamheten i Sverige under 2019:</t>
  </si>
  <si>
    <t>Totalt medeltal anställda under 2019:</t>
  </si>
  <si>
    <t>varav medeltal anställda inom telekomverksamheten under 2019:</t>
  </si>
  <si>
    <t xml:space="preserve">Avgiftsgrundande omsättningen enligt ert svar på fråga 6 (tusentals kronor): </t>
  </si>
  <si>
    <t>Gatuadress</t>
  </si>
  <si>
    <t>Gatuadress fortsättning</t>
  </si>
  <si>
    <t>Postnummer</t>
  </si>
  <si>
    <t>Ort</t>
  </si>
  <si>
    <t>Land</t>
  </si>
  <si>
    <t>Webbplats</t>
  </si>
  <si>
    <t>Kontaktperson för PTS</t>
  </si>
  <si>
    <t>Kontaktperson namn</t>
  </si>
  <si>
    <t xml:space="preserve">Telefon kontaktperson </t>
  </si>
  <si>
    <t xml:space="preserve">E-post kontaktperson </t>
  </si>
  <si>
    <t>ny formulering</t>
  </si>
  <si>
    <t>Faktureringsr referens fortsättning</t>
  </si>
  <si>
    <t>Ny fråga</t>
  </si>
  <si>
    <t>Max 25 tecken</t>
  </si>
  <si>
    <t>Max 125 tecken</t>
  </si>
  <si>
    <t>E-postadress som PTS kan skicka beslut, nya tillstånd med mera till:</t>
  </si>
  <si>
    <t>Fråga 0.0 Ange kontaktuppgifter för denna uppgiftsinsamling, Svensk telekommarknad</t>
  </si>
  <si>
    <r>
      <t>1GB=1 073 741 824 =(2</t>
    </r>
    <r>
      <rPr>
        <vertAlign val="superscript"/>
        <sz val="7"/>
        <color rgb="FF222222"/>
        <rFont val="Arial"/>
        <family val="2"/>
      </rPr>
      <t>30</t>
    </r>
    <r>
      <rPr>
        <sz val="10"/>
        <color rgb="FF222222"/>
        <rFont val="Arial"/>
        <family val="2"/>
      </rPr>
      <t> = 1024</t>
    </r>
    <r>
      <rPr>
        <vertAlign val="superscript"/>
        <sz val="7"/>
        <color rgb="FF222222"/>
        <rFont val="Arial"/>
        <family val="2"/>
      </rPr>
      <t>3</t>
    </r>
    <r>
      <rPr>
        <sz val="10"/>
        <color rgb="FF222222"/>
        <rFont val="Arial"/>
        <family val="2"/>
      </rPr>
      <t>) byte</t>
    </r>
  </si>
  <si>
    <t>Ny fotnot</t>
  </si>
  <si>
    <t xml:space="preserve">Fråga 0.1 Uppgifter om företaget/organisationen 
På PTS håller vi på att uppdatera vårt aktörsregister, vänligen fyll i nedan. </t>
  </si>
  <si>
    <t xml:space="preserve">Formulering: Ersätt  "Därutöver" med varav </t>
  </si>
  <si>
    <t>Med "motsvarande tjänster med motsvarande tjänsteinnehåll" menas här de faktiska tjänster som slutkunden får levererat. Med andra ord räknas även situationer där en slutkund får extra förmåner, exempelvis i form av bättre levererad kvalitet eller ytterligare tjänster, utan extra kostnad som att slutkunden får betala ett lägre pris. 
Här avses både abonnemang som erbjuds och marknadsförs som ett gemensamt erbjudande och/eller med ett gemensamt pris och/eller om tjänsterna köps separat vid olika tillfällen men ger upphov till ett lägre totalpris jämfört med om tjänsterna köps separat.
Med "varaktigt" avses inte ett temporärt erbjudande, utan tills vidare (permanent/beständigt) eller under resterande del av innevarande kontraktsperiod. 
Exempel som ingår: Telia Life och Telia samla mobil och bredband. Telenor Kombo, Tele2 Bredband och Fast telefoni
Exempel som inte ingår: Familjeabonnemang för mobilabonnemang, tvillingkort, mobiltelefon tillsammans med mobilabonnemang.</t>
  </si>
  <si>
    <t xml:space="preserve">Ny text. </t>
  </si>
  <si>
    <t>Fiberbaserade (Denna fråga ställs i Bredbandkartläggningen)</t>
  </si>
  <si>
    <t>Investeringar i immateriella anläggningstillgångar gällande telekomverksamhet:</t>
  </si>
  <si>
    <t>Nytt: även organisationsnummer</t>
  </si>
  <si>
    <t xml:space="preserve">Nytt: Ange om dessa ingår i denna rapportering eller inte. </t>
  </si>
  <si>
    <t>Ny rad</t>
  </si>
  <si>
    <r>
      <t xml:space="preserve">AVGIFTSGRUNDANDE OMSÄTTNING
</t>
    </r>
    <r>
      <rPr>
        <sz val="10"/>
        <rFont val="Arial"/>
        <family val="2"/>
      </rPr>
      <t xml:space="preserve">De aktörer som bedriver anmälningspliktig verksamhet är skyldiga att betala vissa avgifter till PTS. Med avgiftsgrundande omsättning avses omsättningen under närmast föregående räkenskapsår i den verksamhet som omfattas av anmälningsplikt  enligt 2 kap 1 § lagen (2003:389) om elektronisk kommunikation. 
</t>
    </r>
    <r>
      <rPr>
        <b/>
        <sz val="10"/>
        <rFont val="Arial"/>
        <family val="2"/>
      </rPr>
      <t xml:space="preserve">
</t>
    </r>
    <r>
      <rPr>
        <sz val="10"/>
        <rFont val="Arial"/>
        <family val="2"/>
      </rPr>
      <t>Om ingen anmälningspliktig verksamhet bedrivits så rapporteras 0 (noll) kronor.
Vid utebliven rapportering, bristfällig rapportering eller under anmälarens första verksamhetsår (som anmäld) har PTS rätt att uppskatta aktörens avgiftsgrundande omsättning  i enlighet med PTS avgiftsföreskrifter. Uppskattning görs med ledning av aktörens senaste årsredovisning.
Angiven eller uppskattad omsättning utgör grund för PTS avgiftsuttag, det vill säga ligger till grund för det belopp som PTS kommer att fakturera er. Avgiften meddelas i form av beslut.
För ytterligare information om anmälningsplikt och avgiftsgrundande omsättning se:
https://www.pts.se/sv/Bransch/Telefoni/Anmalningsplikt/
https://www.pts.se/sv/bransch/telefoni/anmalningsplikt/vagledning-for-avgiftsgrundande-omsattning/</t>
    </r>
    <r>
      <rPr>
        <b/>
        <sz val="10"/>
        <rFont val="Arial"/>
        <family val="2"/>
      </rPr>
      <t xml:space="preserve">
</t>
    </r>
  </si>
  <si>
    <t>Fråga 5 Avgiftsgrundande omsättning för verksamhetsåret 2019 . Ange i tusentals kronor (tkr).
Med  avgiftsgrundande omsättning menas omsättning i anmälningspliktig verksamhet enligt 2 kap 1 § lagen (2003:389) om elektronisk kommunikation.</t>
  </si>
  <si>
    <t>Formulering ändrad, i STM 2018 fråga 6</t>
  </si>
  <si>
    <t>Formulering ändrad, i STM 2018 fråga 7</t>
  </si>
  <si>
    <t xml:space="preserve">Fråga 6: Avgiftsgrundande omsättning för verksamhetsåret 2019 som uppgår till 30 miljoner kronor eller mer ska styrkas. 
Detta ska göras genom att behörig person (t.ex. VD, CFO, ekonomichef eller liknande) bekräftar avgiftsgrundande omsättning
</t>
  </si>
  <si>
    <t xml:space="preserve">Kontroll avgiftsgrundande omsättning fråga 5 </t>
  </si>
  <si>
    <t>Borttagen fråga</t>
  </si>
  <si>
    <t>Frågenummer STM 2018 var 10</t>
  </si>
  <si>
    <t>Frågenummer STM 2018 var 11</t>
  </si>
  <si>
    <t>Frågenummer STM 2018 var 12</t>
  </si>
  <si>
    <t>Frågenummer STM2018 var 13</t>
  </si>
  <si>
    <t>Fråga 12: Terminering av inkommande trafik till eget fastnät:</t>
  </si>
  <si>
    <t>Frågenummer STM 2018 var 14</t>
  </si>
  <si>
    <t>ta bort rad varav intäkter från internettrafik:</t>
  </si>
  <si>
    <t>Frågenummer STM 2018 var 15</t>
  </si>
  <si>
    <t>Frågenummer STM 2018 var 16</t>
  </si>
  <si>
    <t>Formulering, frågenummer STM 2018 var 17.</t>
  </si>
  <si>
    <t>Formulering, frågenummer STM 2018 var 18.</t>
  </si>
  <si>
    <t>Frågenummer 19 i STM 2018</t>
  </si>
  <si>
    <t>Fråga 20 i STM 2018</t>
  </si>
  <si>
    <r>
      <t>Nytt ange binärt dvs 1GB=1 073 741 824 =(2</t>
    </r>
    <r>
      <rPr>
        <vertAlign val="superscript"/>
        <sz val="7"/>
        <color rgb="FF222222"/>
        <rFont val="Arial"/>
        <family val="2"/>
      </rPr>
      <t>30</t>
    </r>
    <r>
      <rPr>
        <sz val="10"/>
        <color rgb="FF222222"/>
        <rFont val="Arial"/>
        <family val="2"/>
      </rPr>
      <t> = 1024</t>
    </r>
    <r>
      <rPr>
        <vertAlign val="superscript"/>
        <sz val="7"/>
        <color rgb="FF222222"/>
        <rFont val="Arial"/>
        <family val="2"/>
      </rPr>
      <t>3</t>
    </r>
    <r>
      <rPr>
        <sz val="10"/>
        <color rgb="FF222222"/>
        <rFont val="Arial"/>
        <family val="2"/>
      </rPr>
      <t>) byte</t>
    </r>
  </si>
  <si>
    <t>Om ni till exempel har angett antal abonnemang på en viss typ abonnemang på fråga 18 så behöver ni även ange intäkter på fråga 22 och antal samtal på fråga 23 och trafikminuter på fråga 24 för den typen av abonnemang. 
I fråga 18-26 ska M2M-abonnemang inte räknas in.</t>
  </si>
  <si>
    <t xml:space="preserve">eSIM är en förkortning av "embedded sim" och fungerar till stor del precis som det traditionella SIM-kortet man sätter in i mobilen. Skillnaden är att informationen om ett abonnemang inte längre är knutet till ett traditionellt SIM-kort, utan kan skickas trådlöst direkt till t ex mobilen, klockan eller surfplattan. eSIM kan programmeras på distans. </t>
  </si>
  <si>
    <t>M2M SIM-kort avser tjänster för kommunikation mellan maskiner eller annan utrustning (bilar, tåg, smarta elmätare, konsumentelektronik osv.) och som inte utgör del av ett privat- eller företagsabonnemang. Abonnemang på mobilt bredband som fristående tjänst (för exempelvis surfplattor) ska inte räknas som M2M-simkort.</t>
  </si>
  <si>
    <t>Inklusive aktiva kontantkort, SMS, MMS, mobil datatrafik och mobila mervärdestjänster. Med mobila mervärdestjänster avses här andra mobila tjänster än mobilabonnemang, kontantkort, sms, mms och mobildatatrafik. Mobila mervärdtjänster kan till exempel vara intäkter från medflyttning, vidarekoppling, röstbrevlåda. Exklusive samtrafik, internationell roaming i utlandet, machine-to-machine (redovisas separat), tillämpningsprogram som t.ex. mobila applikationer ("appar") och koncerninterna intäkter. Även tilläggsavgifter eller annan avbetalning för rabatterade mobiltelefoner (s.k handheld revenue) ska exkluderas. Intäkter från kontantkort redovisas under privat.</t>
  </si>
  <si>
    <t xml:space="preserve">ny rad </t>
  </si>
  <si>
    <t>Fråga borttagen</t>
  </si>
  <si>
    <t>Fråga 33 STM 2018borttagen</t>
  </si>
  <si>
    <t>Frågenummer STM 2018 var 34.</t>
  </si>
  <si>
    <t>Frågenummer STM 2018 var 35.</t>
  </si>
  <si>
    <t>Frågenummer STM 2018 var 36.</t>
  </si>
  <si>
    <t>Frågenummer STM 2018 var 38.</t>
  </si>
  <si>
    <t>Frågenummer STM 2018 var 37.</t>
  </si>
  <si>
    <t>Frågenummer STM 2018 var 40.</t>
  </si>
  <si>
    <r>
      <t xml:space="preserve">Fråga 38: Antalet privata aktiva internetabonnemang respektive sampaketerade abonnemang [7] som är </t>
    </r>
    <r>
      <rPr>
        <b/>
        <i/>
        <u/>
        <sz val="12"/>
        <rFont val="Garamond"/>
        <family val="1"/>
      </rPr>
      <t>gruppanslutninga</t>
    </r>
    <r>
      <rPr>
        <i/>
        <u/>
        <sz val="12"/>
        <rFont val="Garamond"/>
        <family val="1"/>
      </rPr>
      <t>r</t>
    </r>
    <r>
      <rPr>
        <b/>
        <i/>
        <u/>
        <sz val="12"/>
        <rFont val="Garamond"/>
        <family val="1"/>
      </rPr>
      <t xml:space="preserve"> </t>
    </r>
    <r>
      <rPr>
        <b/>
        <i/>
        <sz val="12"/>
        <rFont val="Garamond"/>
        <family val="1"/>
      </rPr>
      <t>dvs tecknade med t ex. hyresvärdar, bostadsrättsföreningar, samfälligheter eller  byalag. Antal abonnemang avser antal abonnemang till  slutkunder, inte antal bostadsrättsföreningar mfl. Avser 31 december 2019.</t>
    </r>
  </si>
  <si>
    <t>Frågenummer STM 2018 var 39.</t>
  </si>
  <si>
    <t xml:space="preserve">Fråga 39 och 40  riktar sig till de aktörer som har avtal med hushåll eller fastighetsägare om abonnemang på paket av tv-kanaler. Dessa frågor avser traditionell betal-tv. Här ingår inte abonnemang på SVOD (subscription video on demand) så som Netflix. </t>
  </si>
  <si>
    <t>Frågenummer STM 2018 var 41.</t>
  </si>
  <si>
    <t>Fråga 41 riktar sig till de programagenturer som säljer tv-kanaler vidare till t.ex. nät- eller fastighetsägare och kabel-tv-operatörer (SMATV). Sappa och Canal Digital har sådan verksamhet.</t>
  </si>
  <si>
    <t>Frågenummer STM 2018 var 42.</t>
  </si>
  <si>
    <t>Fråga 42:  Antalet slutkunder med två eller fler tjänster där priset som slutkunden betalar är varaktigt lägre än summan av priserna om motsvarande tjänster med motsvarande tjänsteinnehåll köps separat. OBS ny definition, se mer nedan.
Per sista december 2019.</t>
  </si>
  <si>
    <t>Ny formulering. Frågenummer STM 2018 43.</t>
  </si>
  <si>
    <t xml:space="preserve">Formulering </t>
  </si>
  <si>
    <t>Fråga 43: Intäkter (tusentals kronor) för digitala kapacitetstjänster [6] till grossistkunder [7] i Sverige under 2019. Här ska inte KO (Kommunikationsoperatör-verksamhet) tjänster ingå.</t>
  </si>
  <si>
    <t xml:space="preserve">Borttagen fråga 46 i STM 2018 </t>
  </si>
  <si>
    <t>Frågenummer i STM 2018 var 47.</t>
  </si>
  <si>
    <t>Frågenummer i STM 2018 var 48.</t>
  </si>
  <si>
    <t>Frågenummer i STM 2018 var 49.</t>
  </si>
  <si>
    <t>Endast infrastruktur för fast nätanslutningspunkt omfattas i frågorna 47-48, dvs. inte accesser i mobilnät. Mobilnät omfattas däremot av fråga 49.</t>
  </si>
  <si>
    <t>Fiberbaserade (Denna fråga ställs i Bredbandkartläggningen istället för här.)</t>
  </si>
  <si>
    <t>Om ni äger nätinfrastruktur enligt fråga 47 ska ni besvara fråga 48.</t>
  </si>
  <si>
    <t>Frågenummer i STM 2018 var 50.</t>
  </si>
  <si>
    <t>Frågenummer i STM 2018 var 51.</t>
  </si>
  <si>
    <t>Formulering justerad</t>
  </si>
  <si>
    <t xml:space="preserve">Den avgiftsgrundande omsättningen (fråga 5)  är vanligtvis högre än summan av intäkter avseende övriga intäktsfrågor i Svensk telekommarknad, se nedan.
Med avgiftsgrundande omsättning avses omsättning i anmälningspliktig verksamhet enligt 2 kap 1 § lagen (2003:389) om elektronisk kommunikation.
Verifiera att era uppgifter avseende den avgiftsgrundande omsättningen stämmer. 
Om den avgiftsgrundande omsättningen är lägre än summan av övriga frågor ovan, vänligen förklara anledning i kommentarsfältet.
</t>
  </si>
  <si>
    <t>Summa intäkter i Svensk telekommarknad exklusive TV-abonnemang avser frågor: 9, 13, 22, 27, 31, 37,  43 (exkl. koncerninterna intäkter), 44, 45, (exkl. koncerninterna intäkter)och 46 (exkl. koncerninterna intäkter).</t>
  </si>
  <si>
    <t>Rad borttagen</t>
  </si>
  <si>
    <t>Ny formulering "tillägg". Frågan fanns 1H2019 men inte 2018.</t>
  </si>
  <si>
    <t>Total mängd utgående och inkommande mobil datatrafik (GB)</t>
  </si>
  <si>
    <t>Här avses SMS som sänds från datorsystem t.ex. som påminnelse om tidbokning, massutskick som reklam eller bekräftelse på biljettköp. Maskin-till-person.</t>
  </si>
  <si>
    <t>Antal SMS skickade från datorsystem eller applikation till person [35]</t>
  </si>
  <si>
    <t>varav inom eget nät [21]:</t>
  </si>
  <si>
    <t>För tjänstetillhandahållare/tredjepartsoperatör där nätkapacitet köps från en mobilnätsoperatör, avses taltrafik/sms som terminerar i samma nät som det tjänstetillhandahållaren är ansluten till.</t>
  </si>
  <si>
    <t>Frågenummer i STM 2018 45, Formulering ändrad</t>
  </si>
  <si>
    <t>Frågenummer i STM 2018 var 44. Formulering ändrad</t>
  </si>
  <si>
    <t>Ange antal lägenhetsanslutningar som ni når via de byggnadsanslutningar som ni angav i föregårede fråga.
Observera att fiberbaserade lägenhetsanslutningar inte ska redovisas under denna fråga. Denna uppgift hämtas istället från PTS insamling Bredbandskartläggningen.</t>
  </si>
  <si>
    <t>Frågenummer i  STM2018 var 53</t>
  </si>
  <si>
    <t>Frågenummer i  STM2018 var 54</t>
  </si>
  <si>
    <t>Frågenummer i  STM2018 var 55</t>
  </si>
  <si>
    <t>Fråga 50: Har ni tagit emot begäran inom något/några av nedan listade områden? Detta innebär att lag (2016:534) om åtgärder för utbyggnad av bredbandsnät (utbyggnadslagen) tillämpats. Frågan avser under 2019.</t>
  </si>
  <si>
    <t>Fråga 51:  Var publicerar ni information för samordning av bygg- och anläggningsprojekt i de fall ni är en offentlig aktör eller där projekt helt eller delvis finansieras med offentliga medel. Avser per 31 december 2019. Flera alternativ möjliga.</t>
  </si>
  <si>
    <t xml:space="preserve">Fråga 52: Har ni under 2019 begärt tillträde, samordning eller information enligt utbyggnadslagen?  </t>
  </si>
  <si>
    <t xml:space="preserve">Fråga 53: Har ni i samband med nyttjande av utbyggnadslagen upplevt problem relaterat till er begäran enligt frågan ovan? </t>
  </si>
  <si>
    <t>Antal heltidsanställda:  (35 tim / vecka eller mer):</t>
  </si>
  <si>
    <t xml:space="preserve">Antal deltidsanställda den </t>
  </si>
  <si>
    <t>Växel telefonnummer</t>
  </si>
  <si>
    <r>
      <rPr>
        <b/>
        <sz val="10"/>
        <rFont val="Arial"/>
        <family val="2"/>
      </rPr>
      <t xml:space="preserve">Jag bekräftar att avgiftsgrundande omsättningen är korrekt : </t>
    </r>
    <r>
      <rPr>
        <sz val="10"/>
        <rFont val="Arial"/>
        <family val="2"/>
      </rPr>
      <t xml:space="preserve">
 Om avgiftsgrundande omsättningen är fel, vänligen korrigera den i fråga 5.
</t>
    </r>
  </si>
  <si>
    <t>Förändring sedan 2018</t>
  </si>
  <si>
    <t>Uppdaterad information</t>
  </si>
  <si>
    <t xml:space="preserve">Fråga 7: Ange faktureringsadress.
</t>
  </si>
  <si>
    <t xml:space="preserve">Fakturerings referens </t>
  </si>
  <si>
    <t xml:space="preserve">För att kunna mäta utbredningen av nätinfrastruktur för bredband behöver PTS information om vilka aktörer som äger nätinfrastruktur som sträcker sig fram till byggnader (bostäder såväl som kommersiella byggnader) och omfattningen av detta ägande.
Observera att fiberbaserade byggnadsanslutningar inte ska redovisas under denna fråga. Denna uppgift hämtas istället från PTS insamling Bredbandskartläggningen.
</t>
  </si>
  <si>
    <r>
      <t xml:space="preserve">Fråga borttagen: Antal abonnemang på ip-telefoni (xDSL, kabel-tv, LAN-nät eller annan ip-baserad acess) som </t>
    </r>
    <r>
      <rPr>
        <b/>
        <i/>
        <u/>
        <sz val="12"/>
        <rFont val="Garamond"/>
        <family val="1"/>
      </rPr>
      <t xml:space="preserve">inte använts </t>
    </r>
    <r>
      <rPr>
        <b/>
        <i/>
        <sz val="12"/>
        <rFont val="Garamond"/>
        <family val="1"/>
      </rPr>
      <t>per den sista december 2019. Med abonnemang som inte använts avses de som inte har genererat trafik (ingående eller utgående samtal)  under den senaste 3-månadersperioden.</t>
    </r>
  </si>
  <si>
    <t>Fråga 20: Antal aktiva mobilabonnemang och tilläggstjänster ( t.ex. klockor)  som använder eSIM. Med eSIM [34] avses ett programmerbart SIM-kort där funktionaliteten är inbyggd i terminalen. Avser 31 december 2019.</t>
  </si>
  <si>
    <t>Frågenummer i  STM2018 var 52</t>
  </si>
  <si>
    <t>Tidigare formulering:</t>
  </si>
  <si>
    <t xml:space="preserve"> Här ska de intäkter redovisas som företaget har erhållit i Sverige. Det innebär att det endast handlar om intäkter som hamnar i Sverige. Dock kan intäkterna erhållas från utlandet (utanför Sverige) men som hamnar i Sverige. 
Observera att det är endast är verksamheten som rör televerksamhet som ska redovisas. De totala rörelseintäkterna kan hämtas från kontoklass 3 i baskontoplanen. Observera att om företaget har redovisat bidrag bland rörelsens kostnader ska dessa läggas till här. Räkna inte in finansiella och extraordinära intäkter eller moms.
</t>
  </si>
  <si>
    <t>Ändrad 2020-02-11</t>
  </si>
  <si>
    <r>
      <t>Ändrat "Denna fråga avser intäkter för anbonnemang som rappoterats på fråga</t>
    </r>
    <r>
      <rPr>
        <strike/>
        <sz val="10"/>
        <rFont val="Verdana"/>
        <family val="2"/>
      </rPr>
      <t xml:space="preserve"> 19</t>
    </r>
    <r>
      <rPr>
        <sz val="10"/>
        <rFont val="Verdana"/>
        <family val="2"/>
      </rPr>
      <t xml:space="preserve"> 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</si>
</sst>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Garamond"/>
      <family val="1"/>
    </font>
    <font>
      <sz val="9"/>
      <name val="Arial"/>
      <family val="2"/>
    </font>
    <font>
      <b/>
      <sz val="10"/>
      <name val="Garamond"/>
      <family val="1"/>
    </font>
    <font>
      <sz val="10"/>
      <name val="Arial"/>
      <family val="2"/>
    </font>
    <font>
      <sz val="10"/>
      <name val="Garamond"/>
      <family val="1"/>
    </font>
    <font>
      <b/>
      <sz val="20"/>
      <name val="Arial"/>
      <family val="2"/>
    </font>
    <font>
      <sz val="22"/>
      <name val="Arial"/>
      <family val="2"/>
    </font>
    <font>
      <i/>
      <sz val="10"/>
      <name val="Garamond"/>
      <family val="1"/>
    </font>
    <font>
      <b/>
      <sz val="11"/>
      <name val="Garamond"/>
      <family val="1"/>
    </font>
    <font>
      <b/>
      <sz val="12"/>
      <name val="Arial"/>
      <family val="2"/>
    </font>
    <font>
      <b/>
      <sz val="11"/>
      <name val="Arial"/>
      <family val="2"/>
    </font>
    <font>
      <b/>
      <i/>
      <sz val="12"/>
      <name val="Garamond"/>
      <family val="1"/>
    </font>
    <font>
      <b/>
      <sz val="10"/>
      <color indexed="10"/>
      <name val="Arial"/>
      <family val="2"/>
    </font>
    <font>
      <b/>
      <i/>
      <sz val="10"/>
      <name val="Arial"/>
      <family val="2"/>
    </font>
    <font>
      <b/>
      <sz val="10"/>
      <name val="Arial"/>
      <family val="2"/>
    </font>
    <font>
      <i/>
      <sz val="10"/>
      <name val="Arial"/>
      <family val="2"/>
    </font>
    <font>
      <sz val="11"/>
      <name val="Garamond"/>
      <family val="1"/>
    </font>
    <font>
      <u/>
      <sz val="10"/>
      <name val="Arial"/>
      <family val="2"/>
    </font>
    <font>
      <sz val="8"/>
      <name val="Garamond"/>
      <family val="1"/>
    </font>
    <font>
      <i/>
      <sz val="12"/>
      <color indexed="10"/>
      <name val="Garamond"/>
      <family val="1"/>
    </font>
    <font>
      <sz val="10"/>
      <color indexed="9"/>
      <name val="Arial"/>
      <family val="2"/>
    </font>
    <font>
      <sz val="12"/>
      <color indexed="9"/>
      <name val="Arial"/>
      <family val="2"/>
    </font>
    <font>
      <b/>
      <sz val="12"/>
      <color indexed="9"/>
      <name val="Garamond"/>
      <family val="1"/>
    </font>
    <font>
      <sz val="9"/>
      <color indexed="9"/>
      <name val="Arial"/>
      <family val="2"/>
    </font>
    <font>
      <sz val="8"/>
      <name val="Arial"/>
      <family val="2"/>
    </font>
    <font>
      <b/>
      <sz val="9"/>
      <name val="Arial"/>
      <family val="2"/>
    </font>
    <font>
      <b/>
      <sz val="12"/>
      <color indexed="12"/>
      <name val="Garamond"/>
      <family val="1"/>
    </font>
    <font>
      <b/>
      <i/>
      <sz val="12"/>
      <name val="Arial"/>
      <family val="2"/>
    </font>
    <font>
      <i/>
      <sz val="9"/>
      <name val="Arial"/>
      <family val="2"/>
    </font>
    <font>
      <sz val="13"/>
      <name val="Arial"/>
      <family val="2"/>
    </font>
    <font>
      <b/>
      <sz val="13"/>
      <name val="Garamond"/>
      <family val="1"/>
    </font>
    <font>
      <sz val="14"/>
      <name val="Arial"/>
      <family val="2"/>
    </font>
    <font>
      <b/>
      <u/>
      <sz val="12"/>
      <name val="Arial"/>
      <family val="2"/>
    </font>
    <font>
      <sz val="10"/>
      <color indexed="22"/>
      <name val="Arial"/>
      <family val="2"/>
    </font>
    <font>
      <b/>
      <sz val="10"/>
      <color indexed="12"/>
      <name val="Arial"/>
      <family val="2"/>
    </font>
    <font>
      <sz val="10"/>
      <name val="Verdana"/>
      <family val="2"/>
    </font>
    <font>
      <b/>
      <sz val="10"/>
      <name val="Verdana"/>
      <family val="2"/>
    </font>
    <font>
      <b/>
      <sz val="14"/>
      <name val="Verdana"/>
      <family val="2"/>
    </font>
    <font>
      <b/>
      <sz val="20"/>
      <name val="Verdana"/>
      <family val="2"/>
    </font>
    <font>
      <b/>
      <sz val="13"/>
      <name val="Verdana"/>
      <family val="2"/>
    </font>
    <font>
      <sz val="10"/>
      <color theme="1"/>
      <name val="Verdana"/>
      <family val="2"/>
    </font>
    <font>
      <sz val="10"/>
      <color rgb="FFFF0000"/>
      <name val="Arial"/>
      <family val="2"/>
    </font>
    <font>
      <sz val="10"/>
      <color rgb="FFFF0000"/>
      <name val="Verdana"/>
      <family val="2"/>
    </font>
    <font>
      <sz val="10"/>
      <color theme="0" tint="-0.499984740745262"/>
      <name val="Arial"/>
      <family val="2"/>
    </font>
    <font>
      <b/>
      <sz val="10"/>
      <color theme="0" tint="-0.499984740745262"/>
      <name val="Arial"/>
      <family val="2"/>
    </font>
    <font>
      <b/>
      <sz val="12"/>
      <color rgb="FFFF0000"/>
      <name val="Arial"/>
      <family val="2"/>
    </font>
    <font>
      <b/>
      <i/>
      <sz val="10"/>
      <color rgb="FFFF0000"/>
      <name val="Verdana"/>
      <family val="2"/>
    </font>
    <font>
      <b/>
      <sz val="10"/>
      <name val="Ariel "/>
    </font>
    <font>
      <b/>
      <sz val="11"/>
      <name val="Ariel "/>
    </font>
    <font>
      <sz val="10"/>
      <color rgb="FF7030A0"/>
      <name val="Arial"/>
      <family val="2"/>
    </font>
    <font>
      <b/>
      <i/>
      <sz val="10"/>
      <name val="Verdana"/>
      <family val="2"/>
    </font>
    <font>
      <b/>
      <i/>
      <sz val="14"/>
      <name val="Garamond"/>
      <family val="1"/>
    </font>
    <font>
      <i/>
      <sz val="14"/>
      <name val="Garamond"/>
      <family val="1"/>
    </font>
    <font>
      <sz val="10"/>
      <color rgb="FF000000"/>
      <name val="Arial"/>
      <family val="2"/>
    </font>
    <font>
      <sz val="12"/>
      <color rgb="FFFF0000"/>
      <name val="Arial"/>
      <family val="2"/>
    </font>
    <font>
      <b/>
      <sz val="10"/>
      <color rgb="FFC00000"/>
      <name val="Arial"/>
      <family val="2"/>
    </font>
    <font>
      <sz val="10"/>
      <color rgb="FF1F497D"/>
      <name val="Verdana"/>
      <family val="2"/>
    </font>
    <font>
      <sz val="11"/>
      <color theme="1"/>
      <name val="Calibri"/>
      <family val="2"/>
    </font>
    <font>
      <b/>
      <sz val="10"/>
      <color theme="1"/>
      <name val="Arial"/>
      <family val="2"/>
    </font>
    <font>
      <b/>
      <sz val="9"/>
      <color theme="1"/>
      <name val="Arial"/>
      <family val="2"/>
    </font>
    <font>
      <b/>
      <sz val="10"/>
      <color rgb="FF0070C0"/>
      <name val="Arial"/>
      <family val="2"/>
    </font>
    <font>
      <b/>
      <i/>
      <sz val="10"/>
      <color theme="1"/>
      <name val="Arial"/>
      <family val="2"/>
    </font>
    <font>
      <i/>
      <sz val="10"/>
      <color theme="1"/>
      <name val="Arial"/>
      <family val="2"/>
    </font>
    <font>
      <b/>
      <sz val="10"/>
      <color theme="1"/>
      <name val="Verdana"/>
      <family val="2"/>
    </font>
    <font>
      <b/>
      <i/>
      <u/>
      <sz val="12"/>
      <name val="Garamond"/>
      <family val="1"/>
    </font>
    <font>
      <b/>
      <sz val="8"/>
      <color theme="1"/>
      <name val="Arial"/>
      <family val="2"/>
    </font>
    <font>
      <i/>
      <sz val="8"/>
      <color theme="1"/>
      <name val="Calibri"/>
      <family val="2"/>
    </font>
    <font>
      <sz val="9"/>
      <name val="Verdana"/>
      <family val="2"/>
    </font>
    <font>
      <sz val="10"/>
      <color theme="1"/>
      <name val="Arial"/>
      <family val="2"/>
    </font>
    <font>
      <sz val="11"/>
      <name val="Calibri"/>
      <family val="2"/>
    </font>
    <font>
      <sz val="10"/>
      <name val="Wingdings"/>
      <charset val="2"/>
    </font>
    <font>
      <b/>
      <strike/>
      <sz val="10"/>
      <name val="Arial"/>
      <family val="2"/>
    </font>
    <font>
      <i/>
      <strike/>
      <sz val="10"/>
      <name val="Arial"/>
      <family val="2"/>
    </font>
    <font>
      <sz val="11"/>
      <color rgb="FF000000"/>
      <name val="Calibri"/>
      <family val="2"/>
    </font>
    <font>
      <sz val="9"/>
      <color theme="1"/>
      <name val="Verdana"/>
      <family val="2"/>
    </font>
    <font>
      <sz val="8"/>
      <color rgb="FFFF0000"/>
      <name val="Arial"/>
      <family val="2"/>
    </font>
    <font>
      <sz val="12"/>
      <name val="Garamond"/>
      <family val="1"/>
    </font>
    <font>
      <sz val="20"/>
      <name val="Verdana"/>
      <family val="2"/>
    </font>
    <font>
      <sz val="13"/>
      <name val="Verdana"/>
      <family val="2"/>
    </font>
    <font>
      <sz val="11"/>
      <name val="Arial"/>
      <family val="2"/>
    </font>
    <font>
      <b/>
      <sz val="9"/>
      <name val="Verdana"/>
      <family val="2"/>
    </font>
    <font>
      <sz val="10"/>
      <color theme="1"/>
      <name val="Calibri"/>
      <family val="2"/>
      <scheme val="minor"/>
    </font>
    <font>
      <sz val="10"/>
      <name val="Times New Roman"/>
      <family val="1"/>
    </font>
    <font>
      <b/>
      <sz val="9"/>
      <name val="Times New Roman"/>
      <family val="1"/>
    </font>
    <font>
      <sz val="12"/>
      <name val="Times New Roman"/>
      <family val="1"/>
    </font>
    <font>
      <sz val="10"/>
      <color rgb="FF0070C0"/>
      <name val="Arial"/>
      <family val="2"/>
    </font>
    <font>
      <sz val="10"/>
      <color rgb="FF222222"/>
      <name val="Arial"/>
      <family val="2"/>
    </font>
    <font>
      <vertAlign val="superscript"/>
      <sz val="7"/>
      <color rgb="FF222222"/>
      <name val="Arial"/>
      <family val="2"/>
    </font>
    <font>
      <sz val="8"/>
      <color rgb="FF000000"/>
      <name val="Garamond"/>
      <family val="1"/>
    </font>
    <font>
      <i/>
      <u/>
      <sz val="12"/>
      <name val="Garamond"/>
      <family val="1"/>
    </font>
    <font>
      <strike/>
      <sz val="10"/>
      <name val="Verdana"/>
      <family val="2"/>
    </font>
  </fonts>
  <fills count="2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41"/>
        <bgColor indexed="64"/>
      </patternFill>
    </fill>
    <fill>
      <patternFill patternType="solid">
        <fgColor theme="0" tint="-0.249977111117893"/>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CCFFFF"/>
        <bgColor indexed="64"/>
      </patternFill>
    </fill>
    <fill>
      <patternFill patternType="solid">
        <fgColor theme="1" tint="0.499984740745262"/>
        <bgColor indexed="64"/>
      </patternFill>
    </fill>
    <fill>
      <patternFill patternType="solid">
        <fgColor rgb="FF969696"/>
        <bgColor indexed="64"/>
      </patternFill>
    </fill>
    <fill>
      <patternFill patternType="solid">
        <fgColor rgb="FFC0C0C0"/>
        <bgColor indexed="64"/>
      </patternFill>
    </fill>
    <fill>
      <patternFill patternType="solid">
        <fgColor rgb="FF777777"/>
        <bgColor indexed="64"/>
      </patternFill>
    </fill>
    <fill>
      <patternFill patternType="solid">
        <fgColor theme="0" tint="-0.34998626667073579"/>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FFFF"/>
        <bgColor indexed="64"/>
      </patternFill>
    </fill>
    <fill>
      <patternFill patternType="solid">
        <fgColor theme="1"/>
        <bgColor indexed="64"/>
      </patternFill>
    </fill>
  </fills>
  <borders count="134">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bottom style="hair">
        <color indexed="64"/>
      </bottom>
      <diagonal/>
    </border>
    <border>
      <left style="thin">
        <color indexed="64"/>
      </left>
      <right/>
      <top style="double">
        <color indexed="64"/>
      </top>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double">
        <color indexed="64"/>
      </top>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style="hair">
        <color indexed="64"/>
      </left>
      <right style="thin">
        <color indexed="64"/>
      </right>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thin">
        <color indexed="64"/>
      </right>
      <top style="double">
        <color indexed="64"/>
      </top>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top style="double">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bottom style="double">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style="thin">
        <color indexed="64"/>
      </top>
      <bottom/>
      <diagonal/>
    </border>
    <border>
      <left style="thin">
        <color indexed="64"/>
      </left>
      <right/>
      <top style="thin">
        <color indexed="64"/>
      </top>
      <bottom style="double">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bottom style="hair">
        <color indexed="64"/>
      </bottom>
      <diagonal/>
    </border>
    <border>
      <left/>
      <right/>
      <top style="double">
        <color indexed="64"/>
      </top>
      <bottom style="thin">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top style="hair">
        <color indexed="64"/>
      </top>
      <bottom style="double">
        <color indexed="64"/>
      </bottom>
      <diagonal/>
    </border>
    <border>
      <left/>
      <right/>
      <top style="thin">
        <color indexed="64"/>
      </top>
      <bottom style="double">
        <color indexed="64"/>
      </bottom>
      <diagonal/>
    </border>
    <border>
      <left/>
      <right/>
      <top style="hair">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9"/>
      </left>
      <right/>
      <top/>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style="double">
        <color indexed="64"/>
      </top>
      <bottom/>
      <diagonal/>
    </border>
    <border>
      <left/>
      <right style="hair">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dotted">
        <color indexed="64"/>
      </top>
      <bottom style="double">
        <color indexed="64"/>
      </bottom>
      <diagonal/>
    </border>
    <border>
      <left/>
      <right style="thin">
        <color indexed="64"/>
      </right>
      <top style="dotted">
        <color indexed="64"/>
      </top>
      <bottom style="double">
        <color indexed="64"/>
      </bottom>
      <diagonal/>
    </border>
    <border>
      <left style="hair">
        <color indexed="64"/>
      </left>
      <right style="hair">
        <color indexed="64"/>
      </right>
      <top style="thin">
        <color indexed="64"/>
      </top>
      <bottom style="double">
        <color indexed="64"/>
      </bottom>
      <diagonal/>
    </border>
    <border>
      <left/>
      <right style="hair">
        <color indexed="64"/>
      </right>
      <top style="thin">
        <color indexed="64"/>
      </top>
      <bottom/>
      <diagonal/>
    </border>
    <border>
      <left/>
      <right style="hair">
        <color indexed="64"/>
      </right>
      <top style="double">
        <color indexed="64"/>
      </top>
      <bottom style="thin">
        <color indexed="64"/>
      </bottom>
      <diagonal/>
    </border>
    <border>
      <left/>
      <right style="hair">
        <color indexed="64"/>
      </right>
      <top style="hair">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31">
    <xf numFmtId="0" fontId="0" fillId="0" borderId="0"/>
    <xf numFmtId="0" fontId="26" fillId="0" borderId="0"/>
    <xf numFmtId="0" fontId="21" fillId="0" borderId="0"/>
    <xf numFmtId="0" fontId="20" fillId="0" borderId="0"/>
    <xf numFmtId="0" fontId="19" fillId="0" borderId="0"/>
    <xf numFmtId="0" fontId="18" fillId="0" borderId="0"/>
    <xf numFmtId="0" fontId="18" fillId="0" borderId="0"/>
    <xf numFmtId="0" fontId="21" fillId="0" borderId="0"/>
    <xf numFmtId="0" fontId="18" fillId="0" borderId="0"/>
    <xf numFmtId="0" fontId="17" fillId="0" borderId="0"/>
    <xf numFmtId="0" fontId="17" fillId="0" borderId="0"/>
    <xf numFmtId="0" fontId="16" fillId="0" borderId="0"/>
    <xf numFmtId="0" fontId="15" fillId="0" borderId="0"/>
    <xf numFmtId="0" fontId="14" fillId="0" borderId="0"/>
    <xf numFmtId="0" fontId="13" fillId="0" borderId="0"/>
    <xf numFmtId="0" fontId="12" fillId="0" borderId="0"/>
    <xf numFmtId="9" fontId="21" fillId="0" borderId="0" applyFont="0" applyFill="0" applyBorder="0" applyAlignment="0" applyProtection="0"/>
    <xf numFmtId="0" fontId="11" fillId="0" borderId="0"/>
    <xf numFmtId="0" fontId="11" fillId="0" borderId="0"/>
    <xf numFmtId="0" fontId="10" fillId="0" borderId="0"/>
    <xf numFmtId="0" fontId="9" fillId="0" borderId="0"/>
    <xf numFmtId="0" fontId="8" fillId="0" borderId="0"/>
    <xf numFmtId="0" fontId="58" fillId="0" borderId="0"/>
    <xf numFmtId="0" fontId="7" fillId="0" borderId="0"/>
    <xf numFmtId="0" fontId="6" fillId="0" borderId="0"/>
    <xf numFmtId="0" fontId="5" fillId="0" borderId="0"/>
    <xf numFmtId="0" fontId="5" fillId="0" borderId="0"/>
    <xf numFmtId="0" fontId="4" fillId="0" borderId="0"/>
    <xf numFmtId="0" fontId="2" fillId="0" borderId="0"/>
    <xf numFmtId="0" fontId="1" fillId="0" borderId="0"/>
    <xf numFmtId="0" fontId="104" fillId="0" borderId="0"/>
  </cellStyleXfs>
  <cellXfs count="1334">
    <xf numFmtId="0" fontId="0" fillId="0" borderId="0" xfId="0"/>
    <xf numFmtId="0" fontId="0" fillId="0" borderId="0" xfId="0" applyFill="1"/>
    <xf numFmtId="0" fontId="0" fillId="2" borderId="0" xfId="0" applyFill="1"/>
    <xf numFmtId="0" fontId="29" fillId="2" borderId="0" xfId="0" applyFont="1" applyFill="1"/>
    <xf numFmtId="0" fontId="0" fillId="2" borderId="0" xfId="0" applyFill="1" applyBorder="1"/>
    <xf numFmtId="0" fontId="0" fillId="2" borderId="0" xfId="0" applyFill="1" applyAlignment="1">
      <alignment horizontal="center"/>
    </xf>
    <xf numFmtId="0" fontId="21" fillId="2" borderId="0" xfId="0" applyFont="1" applyFill="1"/>
    <xf numFmtId="0" fontId="21" fillId="2" borderId="0" xfId="0" applyFont="1" applyFill="1" applyBorder="1"/>
    <xf numFmtId="0" fontId="22" fillId="3" borderId="0" xfId="0" applyFont="1" applyFill="1" applyBorder="1" applyAlignment="1">
      <alignment horizontal="center"/>
    </xf>
    <xf numFmtId="0" fontId="23" fillId="3" borderId="0" xfId="0" applyFont="1" applyFill="1" applyBorder="1" applyAlignment="1">
      <alignment horizontal="right"/>
    </xf>
    <xf numFmtId="0" fontId="0" fillId="3" borderId="0" xfId="0" applyFill="1" applyBorder="1" applyAlignment="1">
      <alignment horizontal="center"/>
    </xf>
    <xf numFmtId="0" fontId="52" fillId="2" borderId="0" xfId="0" applyFont="1" applyFill="1" applyBorder="1"/>
    <xf numFmtId="0" fontId="52" fillId="2" borderId="0" xfId="0" applyFont="1" applyFill="1"/>
    <xf numFmtId="0" fontId="54" fillId="2" borderId="0" xfId="0" applyFont="1" applyFill="1" applyBorder="1"/>
    <xf numFmtId="0" fontId="54" fillId="2" borderId="0" xfId="0" applyFont="1" applyFill="1"/>
    <xf numFmtId="0" fontId="23" fillId="3" borderId="0" xfId="0" applyFont="1" applyFill="1" applyBorder="1"/>
    <xf numFmtId="0" fontId="0" fillId="3" borderId="0" xfId="0" applyFill="1" applyBorder="1"/>
    <xf numFmtId="0" fontId="0" fillId="3" borderId="0" xfId="0" applyFill="1" applyBorder="1" applyAlignment="1"/>
    <xf numFmtId="0" fontId="24" fillId="3" borderId="0" xfId="0" applyFont="1" applyFill="1" applyBorder="1" applyAlignment="1">
      <alignment horizontal="left"/>
    </xf>
    <xf numFmtId="0" fontId="32" fillId="3" borderId="0" xfId="0" applyFont="1" applyFill="1" applyBorder="1" applyAlignment="1">
      <alignment horizontal="center"/>
    </xf>
    <xf numFmtId="0" fontId="0" fillId="4" borderId="0" xfId="0" applyFill="1" applyBorder="1"/>
    <xf numFmtId="0" fontId="0" fillId="4" borderId="0" xfId="0" applyFill="1"/>
    <xf numFmtId="0" fontId="57" fillId="3" borderId="0" xfId="0" applyFont="1" applyFill="1" applyBorder="1"/>
    <xf numFmtId="0" fontId="25" fillId="0" borderId="0" xfId="0" applyFont="1" applyFill="1" applyBorder="1"/>
    <xf numFmtId="0" fontId="22" fillId="0" borderId="0" xfId="0" applyFont="1" applyFill="1" applyBorder="1" applyAlignment="1">
      <alignment horizontal="center"/>
    </xf>
    <xf numFmtId="0" fontId="27" fillId="0" borderId="0" xfId="0" applyFont="1" applyFill="1" applyBorder="1" applyAlignment="1"/>
    <xf numFmtId="0" fontId="25" fillId="0" borderId="0" xfId="0" applyFont="1" applyFill="1" applyBorder="1" applyAlignment="1">
      <alignment horizontal="left" wrapText="1"/>
    </xf>
    <xf numFmtId="0" fontId="25" fillId="0" borderId="1" xfId="0" applyFont="1" applyFill="1" applyBorder="1" applyAlignment="1">
      <alignment horizontal="left" wrapText="1"/>
    </xf>
    <xf numFmtId="0" fontId="21" fillId="0" borderId="2" xfId="0" applyFont="1" applyFill="1" applyBorder="1"/>
    <xf numFmtId="0" fontId="21" fillId="0" borderId="0" xfId="0" applyFont="1" applyFill="1"/>
    <xf numFmtId="0" fontId="21" fillId="0" borderId="1" xfId="0" applyFont="1" applyFill="1" applyBorder="1"/>
    <xf numFmtId="0" fontId="25" fillId="0" borderId="2" xfId="0" applyFont="1" applyFill="1" applyBorder="1" applyAlignment="1">
      <alignment horizontal="left" wrapText="1"/>
    </xf>
    <xf numFmtId="0" fontId="53" fillId="0" borderId="2" xfId="0" applyFont="1" applyFill="1" applyBorder="1" applyAlignment="1">
      <alignment horizontal="left" wrapText="1"/>
    </xf>
    <xf numFmtId="0" fontId="53" fillId="0" borderId="0" xfId="0" applyFont="1" applyFill="1" applyBorder="1" applyAlignment="1">
      <alignment horizontal="left" wrapText="1"/>
    </xf>
    <xf numFmtId="0" fontId="53" fillId="0" borderId="1" xfId="0" applyFont="1" applyFill="1" applyBorder="1" applyAlignment="1">
      <alignment horizontal="left" wrapText="1"/>
    </xf>
    <xf numFmtId="0" fontId="25" fillId="0" borderId="2" xfId="0" applyFont="1" applyFill="1" applyBorder="1" applyAlignment="1">
      <alignment horizontal="left"/>
    </xf>
    <xf numFmtId="0" fontId="25" fillId="0" borderId="0" xfId="0" applyFont="1" applyFill="1" applyBorder="1" applyAlignment="1">
      <alignment horizontal="left"/>
    </xf>
    <xf numFmtId="0" fontId="22" fillId="0" borderId="1" xfId="0" applyFont="1" applyFill="1" applyBorder="1" applyAlignment="1">
      <alignment horizontal="center"/>
    </xf>
    <xf numFmtId="0" fontId="55" fillId="0" borderId="2" xfId="0" applyFont="1" applyFill="1" applyBorder="1" applyAlignment="1">
      <alignment horizontal="left" wrapText="1"/>
    </xf>
    <xf numFmtId="0" fontId="55" fillId="0" borderId="0" xfId="0" applyFont="1" applyFill="1" applyBorder="1" applyAlignment="1">
      <alignment horizontal="left" wrapText="1"/>
    </xf>
    <xf numFmtId="0" fontId="23" fillId="0" borderId="0" xfId="0" applyFont="1" applyFill="1" applyBorder="1" applyAlignment="1">
      <alignment horizontal="left" wrapText="1"/>
    </xf>
    <xf numFmtId="0" fontId="23" fillId="0" borderId="1" xfId="0" applyFont="1" applyFill="1" applyBorder="1" applyAlignment="1">
      <alignment horizontal="left" wrapText="1"/>
    </xf>
    <xf numFmtId="0" fontId="23" fillId="0" borderId="2" xfId="0" applyFont="1" applyFill="1" applyBorder="1"/>
    <xf numFmtId="0" fontId="23" fillId="0" borderId="0" xfId="0" applyFont="1" applyFill="1" applyBorder="1"/>
    <xf numFmtId="0" fontId="0" fillId="0" borderId="0" xfId="0" applyFill="1" applyBorder="1"/>
    <xf numFmtId="0" fontId="57" fillId="0" borderId="0" xfId="0" applyFont="1" applyFill="1" applyBorder="1"/>
    <xf numFmtId="0" fontId="49" fillId="0" borderId="0" xfId="0" applyFont="1" applyFill="1" applyBorder="1" applyAlignment="1"/>
    <xf numFmtId="0" fontId="27" fillId="0" borderId="0" xfId="0" applyFont="1" applyFill="1" applyBorder="1" applyAlignment="1">
      <alignment wrapText="1"/>
    </xf>
    <xf numFmtId="3" fontId="37" fillId="0" borderId="5" xfId="0" applyNumberFormat="1" applyFont="1" applyFill="1" applyBorder="1" applyAlignment="1">
      <alignment horizontal="center" vertical="top"/>
    </xf>
    <xf numFmtId="0" fontId="21" fillId="0" borderId="0" xfId="0" applyFont="1"/>
    <xf numFmtId="0" fontId="21" fillId="2" borderId="0" xfId="2" applyFill="1" applyAlignment="1">
      <alignment vertical="top"/>
    </xf>
    <xf numFmtId="0" fontId="21" fillId="6" borderId="0" xfId="2" applyFill="1" applyAlignment="1">
      <alignment vertical="top"/>
    </xf>
    <xf numFmtId="0" fontId="0" fillId="0" borderId="6" xfId="0" applyBorder="1"/>
    <xf numFmtId="0" fontId="0" fillId="7" borderId="0" xfId="0" applyFill="1"/>
    <xf numFmtId="49" fontId="21" fillId="0" borderId="6" xfId="0" applyNumberFormat="1" applyFont="1" applyBorder="1"/>
    <xf numFmtId="3" fontId="37" fillId="7" borderId="0" xfId="0" applyNumberFormat="1" applyFont="1" applyFill="1" applyBorder="1" applyAlignment="1">
      <alignment horizontal="center" vertical="top"/>
    </xf>
    <xf numFmtId="0" fontId="21" fillId="6" borderId="0" xfId="2" applyFill="1" applyBorder="1" applyAlignment="1">
      <alignment vertical="top"/>
    </xf>
    <xf numFmtId="0" fontId="21" fillId="0" borderId="6" xfId="0" applyFont="1" applyBorder="1"/>
    <xf numFmtId="0" fontId="0" fillId="7" borderId="0" xfId="0" applyFill="1" applyBorder="1" applyAlignment="1"/>
    <xf numFmtId="0" fontId="22" fillId="7" borderId="0" xfId="0" applyFont="1" applyFill="1" applyBorder="1" applyAlignment="1">
      <alignment horizontal="center"/>
    </xf>
    <xf numFmtId="0" fontId="0" fillId="7" borderId="0" xfId="0" applyFill="1" applyBorder="1" applyAlignment="1">
      <alignment horizontal="center"/>
    </xf>
    <xf numFmtId="0" fontId="41" fillId="7" borderId="0" xfId="0" applyFont="1" applyFill="1" applyBorder="1" applyAlignment="1">
      <alignment wrapText="1"/>
    </xf>
    <xf numFmtId="0" fontId="0" fillId="7" borderId="0" xfId="0" applyFill="1" applyBorder="1" applyAlignment="1">
      <alignment wrapText="1"/>
    </xf>
    <xf numFmtId="0" fontId="32" fillId="7" borderId="0" xfId="0" applyFont="1" applyFill="1" applyBorder="1" applyAlignment="1">
      <alignment horizontal="left" vertical="center" wrapText="1"/>
    </xf>
    <xf numFmtId="0" fontId="32" fillId="7" borderId="0" xfId="0" applyFont="1" applyFill="1" applyBorder="1" applyAlignment="1">
      <alignment horizontal="left"/>
    </xf>
    <xf numFmtId="0" fontId="37" fillId="7" borderId="0" xfId="0" applyFont="1" applyFill="1" applyBorder="1" applyAlignment="1">
      <alignment vertical="top"/>
    </xf>
    <xf numFmtId="0" fontId="39" fillId="7" borderId="0" xfId="2" applyFont="1" applyFill="1" applyBorder="1" applyAlignment="1">
      <alignment horizontal="left" vertical="top" wrapText="1"/>
    </xf>
    <xf numFmtId="0" fontId="37" fillId="7" borderId="0" xfId="2" applyFont="1" applyFill="1" applyBorder="1" applyAlignment="1">
      <alignment vertical="top" wrapText="1"/>
    </xf>
    <xf numFmtId="0" fontId="58" fillId="7" borderId="0" xfId="2" applyFont="1" applyFill="1" applyBorder="1" applyAlignment="1">
      <alignment horizontal="left" vertical="top" wrapText="1"/>
    </xf>
    <xf numFmtId="0" fontId="39" fillId="7" borderId="0" xfId="0" applyFont="1" applyFill="1" applyBorder="1" applyAlignment="1">
      <alignment vertical="top" wrapText="1"/>
    </xf>
    <xf numFmtId="0" fontId="0" fillId="7" borderId="0" xfId="0" applyFill="1" applyAlignment="1">
      <alignment vertical="top" wrapText="1"/>
    </xf>
    <xf numFmtId="3" fontId="37" fillId="0" borderId="11" xfId="0" applyNumberFormat="1" applyFont="1" applyFill="1" applyBorder="1" applyAlignment="1">
      <alignment horizontal="center" vertical="top"/>
    </xf>
    <xf numFmtId="0" fontId="37" fillId="3" borderId="16" xfId="0" applyFont="1" applyFill="1" applyBorder="1" applyAlignment="1">
      <alignment horizontal="left" vertical="top"/>
    </xf>
    <xf numFmtId="0" fontId="21" fillId="3" borderId="14" xfId="0" applyFont="1" applyFill="1" applyBorder="1" applyAlignment="1">
      <alignment horizontal="left" vertical="top"/>
    </xf>
    <xf numFmtId="0" fontId="32" fillId="7" borderId="0" xfId="0" applyFont="1" applyFill="1" applyBorder="1" applyAlignment="1">
      <alignment vertical="top"/>
    </xf>
    <xf numFmtId="3" fontId="26" fillId="7" borderId="0" xfId="0" applyNumberFormat="1" applyFont="1" applyFill="1" applyBorder="1" applyAlignment="1">
      <alignment horizontal="center" vertical="top"/>
    </xf>
    <xf numFmtId="3" fontId="34" fillId="0" borderId="11" xfId="0" applyNumberFormat="1" applyFont="1" applyFill="1" applyBorder="1" applyAlignment="1">
      <alignment horizontal="left" vertical="top"/>
    </xf>
    <xf numFmtId="3" fontId="34" fillId="0" borderId="12" xfId="0" applyNumberFormat="1" applyFont="1" applyFill="1" applyBorder="1" applyAlignment="1">
      <alignment horizontal="left" vertical="top"/>
    </xf>
    <xf numFmtId="0" fontId="34" fillId="0" borderId="10" xfId="0" applyFont="1" applyFill="1" applyBorder="1" applyAlignment="1">
      <alignment horizontal="left" vertical="top"/>
    </xf>
    <xf numFmtId="0" fontId="38" fillId="0" borderId="18" xfId="0" applyFont="1" applyFill="1" applyBorder="1" applyAlignment="1">
      <alignment vertical="top" wrapText="1"/>
    </xf>
    <xf numFmtId="0" fontId="0" fillId="7" borderId="0" xfId="0" applyFill="1" applyAlignment="1">
      <alignment vertical="top"/>
    </xf>
    <xf numFmtId="0" fontId="0" fillId="4" borderId="0" xfId="0" applyFill="1" applyAlignment="1">
      <alignment vertical="top"/>
    </xf>
    <xf numFmtId="3" fontId="22" fillId="3" borderId="0" xfId="0" applyNumberFormat="1" applyFont="1" applyFill="1" applyAlignment="1">
      <alignment horizontal="center" vertical="top"/>
    </xf>
    <xf numFmtId="3" fontId="23" fillId="3" borderId="0" xfId="0" applyNumberFormat="1" applyFont="1" applyFill="1" applyAlignment="1">
      <alignment vertical="top"/>
    </xf>
    <xf numFmtId="0" fontId="56" fillId="2" borderId="0" xfId="0" applyFont="1" applyFill="1" applyBorder="1" applyAlignment="1">
      <alignment vertical="top"/>
    </xf>
    <xf numFmtId="0" fontId="0" fillId="2" borderId="0" xfId="0" applyFill="1" applyAlignment="1">
      <alignment vertical="top"/>
    </xf>
    <xf numFmtId="0" fontId="0" fillId="2" borderId="0" xfId="0" applyFill="1" applyBorder="1" applyAlignment="1">
      <alignment vertical="top"/>
    </xf>
    <xf numFmtId="0" fontId="23" fillId="3" borderId="3" xfId="0" applyFont="1" applyFill="1" applyBorder="1" applyAlignment="1">
      <alignment vertical="top"/>
    </xf>
    <xf numFmtId="0" fontId="23" fillId="3" borderId="0" xfId="0" applyFont="1" applyFill="1" applyBorder="1" applyAlignment="1">
      <alignment vertical="top"/>
    </xf>
    <xf numFmtId="0" fontId="22" fillId="3" borderId="0" xfId="0" applyFont="1" applyFill="1" applyBorder="1" applyAlignment="1">
      <alignment horizontal="center" vertical="top"/>
    </xf>
    <xf numFmtId="0" fontId="22" fillId="3" borderId="3" xfId="0" applyFont="1" applyFill="1" applyBorder="1" applyAlignment="1">
      <alignment horizontal="center" vertical="top"/>
    </xf>
    <xf numFmtId="0" fontId="23" fillId="2" borderId="2" xfId="0" applyFont="1" applyFill="1" applyBorder="1" applyAlignment="1" applyProtection="1">
      <alignment horizontal="left" vertical="top"/>
    </xf>
    <xf numFmtId="0" fontId="32" fillId="0" borderId="0" xfId="0" applyFont="1" applyFill="1" applyBorder="1" applyAlignment="1">
      <alignment horizontal="center" vertical="top"/>
    </xf>
    <xf numFmtId="0" fontId="0" fillId="2" borderId="0" xfId="0" applyFill="1" applyBorder="1" applyAlignment="1">
      <alignment horizontal="center" vertical="top"/>
    </xf>
    <xf numFmtId="0" fontId="32" fillId="0" borderId="0" xfId="0" applyFont="1" applyFill="1" applyBorder="1" applyAlignment="1">
      <alignment horizontal="left" vertical="top" wrapText="1"/>
    </xf>
    <xf numFmtId="0" fontId="33" fillId="0" borderId="0" xfId="0" applyFont="1" applyFill="1" applyBorder="1" applyAlignment="1">
      <alignment horizontal="center" vertical="top" wrapText="1"/>
    </xf>
    <xf numFmtId="3" fontId="32" fillId="0" borderId="0" xfId="0" applyNumberFormat="1" applyFont="1" applyFill="1" applyBorder="1" applyAlignment="1">
      <alignment horizontal="center" vertical="top"/>
    </xf>
    <xf numFmtId="3" fontId="37" fillId="0" borderId="0" xfId="0" applyNumberFormat="1" applyFont="1" applyFill="1" applyBorder="1" applyAlignment="1">
      <alignment horizontal="center" vertical="top"/>
    </xf>
    <xf numFmtId="0" fontId="36" fillId="9" borderId="0" xfId="0" applyFont="1" applyFill="1" applyBorder="1" applyAlignment="1">
      <alignment horizontal="right" vertical="top" wrapText="1"/>
    </xf>
    <xf numFmtId="3" fontId="33" fillId="9" borderId="0" xfId="0" applyNumberFormat="1" applyFont="1" applyFill="1" applyBorder="1" applyAlignment="1">
      <alignment horizontal="left" vertical="top" wrapText="1"/>
    </xf>
    <xf numFmtId="3" fontId="32" fillId="9" borderId="6" xfId="0" applyNumberFormat="1" applyFont="1" applyFill="1" applyBorder="1" applyAlignment="1" applyProtection="1">
      <alignment horizontal="center" vertical="top"/>
      <protection locked="0"/>
    </xf>
    <xf numFmtId="0" fontId="36" fillId="0" borderId="0" xfId="0" applyFont="1" applyFill="1" applyBorder="1" applyAlignment="1">
      <alignment horizontal="right" vertical="top" wrapText="1"/>
    </xf>
    <xf numFmtId="3" fontId="33" fillId="0" borderId="0" xfId="0" applyNumberFormat="1" applyFont="1" applyFill="1" applyBorder="1" applyAlignment="1">
      <alignment horizontal="left" vertical="top" wrapText="1"/>
    </xf>
    <xf numFmtId="3" fontId="32" fillId="0" borderId="6" xfId="0" applyNumberFormat="1" applyFont="1" applyFill="1" applyBorder="1" applyAlignment="1" applyProtection="1">
      <alignment horizontal="center" vertical="top"/>
      <protection locked="0"/>
    </xf>
    <xf numFmtId="0" fontId="0" fillId="6" borderId="0" xfId="0" applyFill="1" applyBorder="1" applyAlignment="1">
      <alignment vertical="top"/>
    </xf>
    <xf numFmtId="0" fontId="36" fillId="6" borderId="0" xfId="0" applyFont="1" applyFill="1" applyBorder="1" applyAlignment="1">
      <alignment horizontal="right" vertical="top" wrapText="1"/>
    </xf>
    <xf numFmtId="3" fontId="33" fillId="6" borderId="0" xfId="0" applyNumberFormat="1" applyFont="1" applyFill="1" applyBorder="1" applyAlignment="1">
      <alignment horizontal="left" vertical="top" wrapText="1"/>
    </xf>
    <xf numFmtId="3" fontId="32" fillId="6" borderId="0" xfId="0" applyNumberFormat="1" applyFont="1" applyFill="1" applyBorder="1" applyAlignment="1" applyProtection="1">
      <alignment horizontal="center" vertical="top"/>
      <protection locked="0"/>
    </xf>
    <xf numFmtId="3" fontId="37" fillId="6" borderId="0" xfId="0" applyNumberFormat="1" applyFont="1" applyFill="1" applyBorder="1" applyAlignment="1">
      <alignment horizontal="center" vertical="top"/>
    </xf>
    <xf numFmtId="0" fontId="0" fillId="6" borderId="0" xfId="0" applyFill="1" applyAlignment="1">
      <alignment vertical="top"/>
    </xf>
    <xf numFmtId="0" fontId="0" fillId="2" borderId="0" xfId="0" applyFill="1" applyAlignment="1">
      <alignment vertical="top" wrapText="1"/>
    </xf>
    <xf numFmtId="3" fontId="0" fillId="2" borderId="0" xfId="0" applyNumberFormat="1" applyFill="1" applyAlignment="1">
      <alignment horizontal="center" vertical="top"/>
    </xf>
    <xf numFmtId="0" fontId="21" fillId="2" borderId="0" xfId="0" applyFont="1" applyFill="1" applyAlignment="1">
      <alignment vertical="top"/>
    </xf>
    <xf numFmtId="0" fontId="21" fillId="3" borderId="0" xfId="2" applyFill="1" applyAlignment="1">
      <alignment vertical="top"/>
    </xf>
    <xf numFmtId="3" fontId="21" fillId="3" borderId="0" xfId="2" applyNumberFormat="1" applyFont="1" applyFill="1" applyAlignment="1">
      <alignment horizontal="center" vertical="top"/>
    </xf>
    <xf numFmtId="0" fontId="21" fillId="4" borderId="9" xfId="2" applyFill="1" applyBorder="1" applyAlignment="1">
      <alignment vertical="top"/>
    </xf>
    <xf numFmtId="0" fontId="21" fillId="0" borderId="0" xfId="2" applyAlignment="1">
      <alignment vertical="top"/>
    </xf>
    <xf numFmtId="0" fontId="37" fillId="3" borderId="2" xfId="2" applyFont="1" applyFill="1" applyBorder="1" applyAlignment="1">
      <alignment vertical="top"/>
    </xf>
    <xf numFmtId="3" fontId="37" fillId="3" borderId="0" xfId="2" applyNumberFormat="1" applyFont="1" applyFill="1" applyBorder="1" applyAlignment="1">
      <alignment horizontal="center" vertical="top"/>
    </xf>
    <xf numFmtId="3" fontId="37" fillId="3" borderId="1" xfId="2" applyNumberFormat="1" applyFont="1" applyFill="1" applyBorder="1" applyAlignment="1">
      <alignment horizontal="center" vertical="top"/>
    </xf>
    <xf numFmtId="0" fontId="21" fillId="0" borderId="69" xfId="2" applyFont="1" applyFill="1" applyBorder="1" applyAlignment="1">
      <alignment vertical="top" wrapText="1"/>
    </xf>
    <xf numFmtId="3" fontId="21" fillId="11" borderId="70" xfId="2" applyNumberFormat="1" applyFont="1" applyFill="1" applyBorder="1" applyAlignment="1" applyProtection="1">
      <alignment horizontal="right" vertical="top"/>
      <protection locked="0"/>
    </xf>
    <xf numFmtId="3" fontId="37" fillId="5" borderId="24" xfId="2" applyNumberFormat="1" applyFont="1" applyFill="1" applyBorder="1" applyAlignment="1" applyProtection="1">
      <alignment horizontal="right" vertical="top"/>
      <protection locked="0"/>
    </xf>
    <xf numFmtId="3" fontId="38" fillId="0" borderId="32" xfId="2" applyNumberFormat="1" applyFont="1" applyFill="1" applyBorder="1" applyAlignment="1" applyProtection="1">
      <alignment horizontal="right" vertical="top"/>
      <protection locked="0"/>
    </xf>
    <xf numFmtId="3" fontId="37" fillId="5" borderId="34" xfId="2" applyNumberFormat="1" applyFont="1" applyFill="1" applyBorder="1" applyAlignment="1" applyProtection="1">
      <alignment horizontal="right" vertical="top"/>
      <protection locked="0"/>
    </xf>
    <xf numFmtId="3" fontId="38" fillId="0" borderId="22" xfId="2" applyNumberFormat="1" applyFont="1" applyFill="1" applyBorder="1" applyAlignment="1" applyProtection="1">
      <alignment horizontal="right" vertical="top"/>
      <protection locked="0"/>
    </xf>
    <xf numFmtId="3" fontId="21" fillId="0" borderId="23" xfId="2" applyNumberFormat="1" applyFont="1" applyFill="1" applyBorder="1" applyAlignment="1" applyProtection="1">
      <alignment horizontal="right" vertical="top"/>
      <protection locked="0"/>
    </xf>
    <xf numFmtId="3" fontId="21" fillId="0" borderId="33" xfId="2" applyNumberFormat="1" applyFont="1" applyFill="1" applyBorder="1" applyAlignment="1" applyProtection="1">
      <alignment horizontal="right" vertical="top"/>
      <protection locked="0"/>
    </xf>
    <xf numFmtId="3" fontId="37" fillId="5" borderId="21" xfId="2" applyNumberFormat="1" applyFont="1" applyFill="1" applyBorder="1" applyAlignment="1" applyProtection="1">
      <alignment horizontal="right" vertical="top"/>
      <protection locked="0"/>
    </xf>
    <xf numFmtId="3" fontId="37" fillId="5" borderId="71" xfId="2" applyNumberFormat="1" applyFont="1" applyFill="1" applyBorder="1" applyAlignment="1" applyProtection="1">
      <alignment horizontal="right" vertical="top"/>
      <protection locked="0"/>
    </xf>
    <xf numFmtId="3" fontId="37" fillId="5" borderId="72" xfId="2" applyNumberFormat="1" applyFont="1" applyFill="1" applyBorder="1" applyAlignment="1" applyProtection="1">
      <alignment horizontal="right" vertical="top"/>
      <protection locked="0"/>
    </xf>
    <xf numFmtId="3" fontId="37" fillId="7" borderId="0" xfId="2" applyNumberFormat="1" applyFont="1" applyFill="1" applyBorder="1" applyAlignment="1" applyProtection="1">
      <alignment horizontal="right" vertical="top"/>
      <protection locked="0"/>
    </xf>
    <xf numFmtId="0" fontId="21" fillId="7" borderId="3" xfId="2" applyFont="1" applyFill="1" applyBorder="1" applyAlignment="1">
      <alignment horizontal="left" vertical="top" wrapText="1"/>
    </xf>
    <xf numFmtId="3" fontId="36" fillId="5" borderId="24" xfId="2" applyNumberFormat="1" applyFont="1" applyFill="1" applyBorder="1" applyAlignment="1" applyProtection="1">
      <alignment horizontal="right" vertical="top"/>
      <protection locked="0"/>
    </xf>
    <xf numFmtId="3" fontId="38" fillId="3" borderId="75" xfId="2" applyNumberFormat="1" applyFont="1" applyFill="1" applyBorder="1" applyAlignment="1" applyProtection="1">
      <alignment horizontal="right" vertical="top"/>
      <protection locked="0"/>
    </xf>
    <xf numFmtId="3" fontId="38" fillId="3" borderId="23" xfId="2" applyNumberFormat="1" applyFont="1" applyFill="1" applyBorder="1" applyAlignment="1" applyProtection="1">
      <alignment horizontal="right" vertical="top"/>
      <protection locked="0"/>
    </xf>
    <xf numFmtId="0" fontId="21" fillId="7" borderId="0" xfId="2" applyFont="1" applyFill="1" applyBorder="1" applyAlignment="1">
      <alignment horizontal="left" vertical="top" wrapText="1"/>
    </xf>
    <xf numFmtId="3" fontId="21" fillId="7" borderId="0" xfId="2" applyNumberFormat="1" applyFont="1" applyFill="1" applyBorder="1" applyAlignment="1" applyProtection="1">
      <alignment horizontal="right" vertical="top"/>
      <protection locked="0"/>
    </xf>
    <xf numFmtId="0" fontId="21" fillId="3" borderId="29" xfId="2" applyFont="1" applyFill="1" applyBorder="1" applyAlignment="1">
      <alignment horizontal="left" vertical="top" wrapText="1"/>
    </xf>
    <xf numFmtId="3" fontId="21" fillId="3" borderId="79" xfId="2" applyNumberFormat="1" applyFont="1" applyFill="1" applyBorder="1" applyAlignment="1" applyProtection="1">
      <alignment horizontal="right" vertical="top"/>
      <protection locked="0"/>
    </xf>
    <xf numFmtId="3" fontId="21" fillId="3" borderId="38" xfId="2" applyNumberFormat="1" applyFont="1" applyFill="1" applyBorder="1" applyAlignment="1" applyProtection="1">
      <alignment horizontal="right" vertical="top"/>
      <protection locked="0"/>
    </xf>
    <xf numFmtId="3" fontId="21" fillId="3" borderId="44" xfId="2" applyNumberFormat="1" applyFont="1" applyFill="1" applyBorder="1" applyAlignment="1" applyProtection="1">
      <alignment horizontal="right" vertical="top"/>
      <protection locked="0"/>
    </xf>
    <xf numFmtId="0" fontId="21" fillId="0" borderId="0" xfId="2" applyFill="1" applyAlignment="1">
      <alignment vertical="top"/>
    </xf>
    <xf numFmtId="0" fontId="21" fillId="3" borderId="14" xfId="2" applyFont="1" applyFill="1" applyBorder="1" applyAlignment="1">
      <alignment horizontal="left" vertical="top" wrapText="1"/>
    </xf>
    <xf numFmtId="3" fontId="37" fillId="5" borderId="49" xfId="2" applyNumberFormat="1" applyFont="1" applyFill="1" applyBorder="1" applyAlignment="1" applyProtection="1">
      <alignment horizontal="right" vertical="top"/>
      <protection locked="0"/>
    </xf>
    <xf numFmtId="3" fontId="37" fillId="5" borderId="80" xfId="2" applyNumberFormat="1" applyFont="1" applyFill="1" applyBorder="1" applyAlignment="1" applyProtection="1">
      <alignment horizontal="right" vertical="top"/>
      <protection locked="0"/>
    </xf>
    <xf numFmtId="3" fontId="37" fillId="5" borderId="36" xfId="2" applyNumberFormat="1" applyFont="1" applyFill="1" applyBorder="1" applyAlignment="1" applyProtection="1">
      <alignment horizontal="right" vertical="top"/>
      <protection locked="0"/>
    </xf>
    <xf numFmtId="0" fontId="36" fillId="7" borderId="0" xfId="2" applyFont="1" applyFill="1" applyBorder="1" applyAlignment="1">
      <alignment horizontal="left" vertical="top" wrapText="1"/>
    </xf>
    <xf numFmtId="3" fontId="38" fillId="7" borderId="0" xfId="2" applyNumberFormat="1" applyFont="1" applyFill="1" applyBorder="1" applyAlignment="1" applyProtection="1">
      <alignment horizontal="right" vertical="top"/>
      <protection locked="0"/>
    </xf>
    <xf numFmtId="3" fontId="36" fillId="7" borderId="0" xfId="2" applyNumberFormat="1" applyFont="1" applyFill="1" applyBorder="1" applyAlignment="1" applyProtection="1">
      <alignment horizontal="right" vertical="top"/>
      <protection locked="0"/>
    </xf>
    <xf numFmtId="3" fontId="21" fillId="3" borderId="81" xfId="2" applyNumberFormat="1" applyFont="1" applyFill="1" applyBorder="1" applyAlignment="1" applyProtection="1">
      <alignment horizontal="right" vertical="top"/>
      <protection locked="0"/>
    </xf>
    <xf numFmtId="3" fontId="21" fillId="3" borderId="51" xfId="2" applyNumberFormat="1" applyFont="1" applyFill="1" applyBorder="1" applyAlignment="1" applyProtection="1">
      <alignment horizontal="right" vertical="top"/>
      <protection locked="0"/>
    </xf>
    <xf numFmtId="0" fontId="37" fillId="0" borderId="2" xfId="2" applyFont="1" applyFill="1" applyBorder="1" applyAlignment="1">
      <alignment vertical="top"/>
    </xf>
    <xf numFmtId="3" fontId="37" fillId="0" borderId="0" xfId="2" applyNumberFormat="1" applyFont="1" applyFill="1" applyBorder="1" applyAlignment="1">
      <alignment horizontal="center" vertical="top"/>
    </xf>
    <xf numFmtId="3" fontId="37" fillId="0" borderId="1" xfId="2" applyNumberFormat="1" applyFont="1" applyFill="1" applyBorder="1" applyAlignment="1">
      <alignment horizontal="center" vertical="top"/>
    </xf>
    <xf numFmtId="3" fontId="37" fillId="0" borderId="24" xfId="2" applyNumberFormat="1" applyFont="1" applyFill="1" applyBorder="1" applyAlignment="1" applyProtection="1">
      <alignment horizontal="right" vertical="top"/>
      <protection locked="0"/>
    </xf>
    <xf numFmtId="0" fontId="21" fillId="7" borderId="29" xfId="2" applyFont="1" applyFill="1" applyBorder="1" applyAlignment="1">
      <alignment vertical="top"/>
    </xf>
    <xf numFmtId="0" fontId="21" fillId="3" borderId="25" xfId="2" applyFont="1" applyFill="1" applyBorder="1" applyAlignment="1">
      <alignment vertical="top"/>
    </xf>
    <xf numFmtId="3" fontId="21" fillId="2" borderId="0" xfId="2" applyNumberFormat="1" applyFont="1" applyFill="1" applyAlignment="1">
      <alignment horizontal="center" vertical="top"/>
    </xf>
    <xf numFmtId="0" fontId="38" fillId="0" borderId="18" xfId="2" applyFont="1" applyFill="1" applyBorder="1" applyAlignment="1">
      <alignment horizontal="left" vertical="top" wrapText="1" indent="2"/>
    </xf>
    <xf numFmtId="0" fontId="38" fillId="0" borderId="4" xfId="2" applyFont="1" applyFill="1" applyBorder="1" applyAlignment="1">
      <alignment horizontal="left" vertical="top" wrapText="1" indent="2"/>
    </xf>
    <xf numFmtId="0" fontId="38" fillId="3" borderId="18" xfId="2" applyFont="1" applyFill="1" applyBorder="1" applyAlignment="1">
      <alignment horizontal="left" vertical="top" indent="2"/>
    </xf>
    <xf numFmtId="0" fontId="38" fillId="3" borderId="18" xfId="2" applyFont="1" applyFill="1" applyBorder="1" applyAlignment="1">
      <alignment horizontal="left" vertical="top" wrapText="1" indent="2"/>
    </xf>
    <xf numFmtId="3" fontId="22" fillId="3" borderId="0" xfId="2" applyNumberFormat="1" applyFont="1" applyFill="1" applyAlignment="1">
      <alignment horizontal="center" vertical="top"/>
    </xf>
    <xf numFmtId="0" fontId="30" fillId="0" borderId="2" xfId="2" applyFont="1" applyFill="1" applyBorder="1" applyAlignment="1">
      <alignment vertical="top"/>
    </xf>
    <xf numFmtId="3" fontId="37" fillId="0" borderId="0" xfId="2" applyNumberFormat="1" applyFont="1" applyFill="1" applyBorder="1" applyAlignment="1">
      <alignment horizontal="center" vertical="top" wrapText="1"/>
    </xf>
    <xf numFmtId="3" fontId="37" fillId="0" borderId="0" xfId="2" applyNumberFormat="1" applyFont="1" applyFill="1" applyBorder="1" applyAlignment="1">
      <alignment horizontal="right" vertical="top" wrapText="1"/>
    </xf>
    <xf numFmtId="3" fontId="37" fillId="0" borderId="1" xfId="2" applyNumberFormat="1" applyFont="1" applyFill="1" applyBorder="1" applyAlignment="1">
      <alignment horizontal="center" vertical="top" wrapText="1"/>
    </xf>
    <xf numFmtId="3" fontId="32" fillId="0" borderId="6" xfId="2" applyNumberFormat="1" applyFont="1" applyFill="1" applyBorder="1" applyAlignment="1" applyProtection="1">
      <alignment horizontal="center" vertical="top"/>
      <protection locked="0"/>
    </xf>
    <xf numFmtId="0" fontId="21" fillId="7" borderId="3" xfId="2" applyFill="1" applyBorder="1" applyAlignment="1">
      <alignment vertical="top"/>
    </xf>
    <xf numFmtId="3" fontId="32" fillId="7" borderId="3" xfId="2" applyNumberFormat="1" applyFont="1" applyFill="1" applyBorder="1" applyAlignment="1" applyProtection="1">
      <alignment horizontal="center" vertical="top"/>
      <protection locked="0"/>
    </xf>
    <xf numFmtId="0" fontId="30" fillId="3" borderId="2" xfId="2" applyFont="1" applyFill="1" applyBorder="1" applyAlignment="1">
      <alignment vertical="top"/>
    </xf>
    <xf numFmtId="3" fontId="37" fillId="3" borderId="0" xfId="2" applyNumberFormat="1" applyFont="1" applyFill="1" applyBorder="1" applyAlignment="1">
      <alignment horizontal="center" vertical="top" wrapText="1"/>
    </xf>
    <xf numFmtId="3" fontId="37" fillId="3" borderId="1" xfId="2" applyNumberFormat="1" applyFont="1" applyFill="1" applyBorder="1" applyAlignment="1">
      <alignment horizontal="center" vertical="top" wrapText="1"/>
    </xf>
    <xf numFmtId="0" fontId="38" fillId="3" borderId="2" xfId="2" applyFont="1" applyFill="1" applyBorder="1" applyAlignment="1">
      <alignment vertical="top"/>
    </xf>
    <xf numFmtId="3" fontId="37" fillId="5" borderId="86" xfId="2" applyNumberFormat="1" applyFont="1" applyFill="1" applyBorder="1" applyAlignment="1" applyProtection="1">
      <alignment horizontal="right" vertical="top"/>
      <protection locked="0"/>
    </xf>
    <xf numFmtId="0" fontId="37" fillId="7" borderId="3" xfId="2" applyFont="1" applyFill="1" applyBorder="1" applyAlignment="1">
      <alignment vertical="top"/>
    </xf>
    <xf numFmtId="3" fontId="37" fillId="7" borderId="3" xfId="2" applyNumberFormat="1" applyFont="1" applyFill="1" applyBorder="1" applyAlignment="1" applyProtection="1">
      <alignment horizontal="right" vertical="top"/>
      <protection locked="0"/>
    </xf>
    <xf numFmtId="0" fontId="21" fillId="2" borderId="0" xfId="2" applyFill="1" applyBorder="1" applyAlignment="1">
      <alignment vertical="top"/>
    </xf>
    <xf numFmtId="3" fontId="21" fillId="3" borderId="87" xfId="2" applyNumberFormat="1" applyFont="1" applyFill="1" applyBorder="1" applyAlignment="1" applyProtection="1">
      <alignment horizontal="right" vertical="top"/>
      <protection locked="0"/>
    </xf>
    <xf numFmtId="3" fontId="21" fillId="4" borderId="64" xfId="2" applyNumberFormat="1" applyFont="1" applyFill="1" applyBorder="1" applyAlignment="1" applyProtection="1">
      <alignment horizontal="right" vertical="top"/>
    </xf>
    <xf numFmtId="3" fontId="37" fillId="3" borderId="67" xfId="2" applyNumberFormat="1" applyFont="1" applyFill="1" applyBorder="1" applyAlignment="1">
      <alignment horizontal="center" vertical="top"/>
    </xf>
    <xf numFmtId="3" fontId="37" fillId="0" borderId="12" xfId="2" applyNumberFormat="1" applyFont="1" applyFill="1" applyBorder="1" applyAlignment="1">
      <alignment horizontal="center" vertical="top"/>
    </xf>
    <xf numFmtId="0" fontId="21" fillId="7" borderId="3" xfId="2" applyFont="1" applyFill="1" applyBorder="1" applyAlignment="1">
      <alignment horizontal="left" vertical="top"/>
    </xf>
    <xf numFmtId="3" fontId="37" fillId="7" borderId="3" xfId="2" applyNumberFormat="1" applyFont="1" applyFill="1" applyBorder="1" applyAlignment="1">
      <alignment horizontal="center" vertical="top"/>
    </xf>
    <xf numFmtId="0" fontId="21" fillId="7" borderId="0" xfId="2" applyFill="1" applyAlignment="1">
      <alignment vertical="top"/>
    </xf>
    <xf numFmtId="0" fontId="34" fillId="0" borderId="17" xfId="2" applyFont="1" applyFill="1" applyBorder="1" applyAlignment="1">
      <alignment horizontal="left" vertical="top" wrapText="1"/>
    </xf>
    <xf numFmtId="0" fontId="37" fillId="0" borderId="2" xfId="2" applyFont="1" applyFill="1" applyBorder="1" applyAlignment="1">
      <alignment horizontal="left" vertical="top"/>
    </xf>
    <xf numFmtId="0" fontId="21" fillId="0" borderId="6" xfId="2" applyFont="1" applyFill="1" applyBorder="1" applyAlignment="1">
      <alignment vertical="top" wrapText="1"/>
    </xf>
    <xf numFmtId="3" fontId="37" fillId="0" borderId="54" xfId="2" applyNumberFormat="1" applyFont="1" applyFill="1" applyBorder="1" applyAlignment="1" applyProtection="1">
      <alignment horizontal="right" vertical="top"/>
      <protection locked="0"/>
    </xf>
    <xf numFmtId="0" fontId="21" fillId="7" borderId="0" xfId="2" applyFont="1" applyFill="1" applyBorder="1" applyAlignment="1">
      <alignment vertical="top" wrapText="1"/>
    </xf>
    <xf numFmtId="3" fontId="21" fillId="2" borderId="0" xfId="2" applyNumberFormat="1" applyFill="1" applyAlignment="1">
      <alignment horizontal="center" vertical="top"/>
    </xf>
    <xf numFmtId="0" fontId="0" fillId="0" borderId="0" xfId="0" applyFill="1" applyAlignment="1">
      <alignment vertical="top"/>
    </xf>
    <xf numFmtId="0" fontId="21" fillId="6" borderId="0" xfId="0" applyFont="1" applyFill="1" applyBorder="1" applyAlignment="1">
      <alignment vertical="top"/>
    </xf>
    <xf numFmtId="0" fontId="43" fillId="3" borderId="0" xfId="2" applyFont="1" applyFill="1" applyAlignment="1">
      <alignment vertical="top"/>
    </xf>
    <xf numFmtId="3" fontId="44" fillId="3" borderId="0" xfId="2" applyNumberFormat="1" applyFont="1" applyFill="1" applyAlignment="1">
      <alignment horizontal="center" vertical="top"/>
    </xf>
    <xf numFmtId="0" fontId="64" fillId="2" borderId="0" xfId="2" applyFont="1" applyFill="1" applyAlignment="1">
      <alignment vertical="top"/>
    </xf>
    <xf numFmtId="0" fontId="21" fillId="0" borderId="2" xfId="2" applyFill="1" applyBorder="1" applyAlignment="1">
      <alignment vertical="top" wrapText="1"/>
    </xf>
    <xf numFmtId="0" fontId="48" fillId="0" borderId="0" xfId="2" applyFont="1" applyFill="1" applyBorder="1" applyAlignment="1">
      <alignment horizontal="center" vertical="top" wrapText="1"/>
    </xf>
    <xf numFmtId="0" fontId="37" fillId="0" borderId="1" xfId="2" applyFont="1" applyFill="1" applyBorder="1" applyAlignment="1">
      <alignment horizontal="center" vertical="top" wrapText="1"/>
    </xf>
    <xf numFmtId="0" fontId="21" fillId="0" borderId="73" xfId="2" applyFont="1" applyFill="1" applyBorder="1" applyAlignment="1">
      <alignment vertical="top" wrapText="1"/>
    </xf>
    <xf numFmtId="0" fontId="21" fillId="0" borderId="82" xfId="2" applyFont="1" applyFill="1" applyBorder="1" applyAlignment="1">
      <alignment vertical="top" wrapText="1"/>
    </xf>
    <xf numFmtId="0" fontId="21" fillId="0" borderId="13" xfId="2" applyFont="1" applyFill="1" applyBorder="1" applyAlignment="1">
      <alignment vertical="top" wrapText="1"/>
    </xf>
    <xf numFmtId="0" fontId="21" fillId="0" borderId="37" xfId="2" applyFont="1" applyFill="1" applyBorder="1" applyAlignment="1">
      <alignment vertical="top" wrapText="1"/>
    </xf>
    <xf numFmtId="0" fontId="21" fillId="0" borderId="14" xfId="2" applyFont="1" applyFill="1" applyBorder="1" applyAlignment="1">
      <alignment vertical="top" wrapText="1"/>
    </xf>
    <xf numFmtId="0" fontId="21" fillId="0" borderId="57" xfId="2" applyFont="1" applyFill="1" applyBorder="1" applyAlignment="1">
      <alignment vertical="top"/>
    </xf>
    <xf numFmtId="0" fontId="21" fillId="0" borderId="83" xfId="2" applyFont="1" applyFill="1" applyBorder="1" applyAlignment="1">
      <alignment vertical="top" wrapText="1"/>
    </xf>
    <xf numFmtId="0" fontId="37" fillId="0" borderId="0" xfId="2" applyFont="1" applyFill="1" applyBorder="1" applyAlignment="1">
      <alignment horizontal="center" vertical="top" wrapText="1"/>
    </xf>
    <xf numFmtId="0" fontId="37" fillId="0" borderId="1" xfId="2" applyFont="1" applyFill="1" applyBorder="1" applyAlignment="1">
      <alignment vertical="top"/>
    </xf>
    <xf numFmtId="0" fontId="21" fillId="0" borderId="56" xfId="2" applyFont="1" applyFill="1" applyBorder="1" applyAlignment="1">
      <alignment vertical="top" wrapText="1"/>
    </xf>
    <xf numFmtId="0" fontId="38" fillId="0" borderId="57" xfId="2" applyFont="1" applyFill="1" applyBorder="1" applyAlignment="1">
      <alignment horizontal="left" vertical="top" indent="2"/>
    </xf>
    <xf numFmtId="0" fontId="58" fillId="7" borderId="0" xfId="2" applyFont="1" applyFill="1" applyBorder="1" applyAlignment="1">
      <alignment vertical="top"/>
    </xf>
    <xf numFmtId="0" fontId="21" fillId="0" borderId="0" xfId="2" applyFill="1" applyBorder="1" applyAlignment="1">
      <alignment vertical="top"/>
    </xf>
    <xf numFmtId="3" fontId="37" fillId="3" borderId="5" xfId="2" applyNumberFormat="1" applyFont="1" applyFill="1" applyBorder="1" applyAlignment="1">
      <alignment horizontal="center" vertical="top"/>
    </xf>
    <xf numFmtId="0" fontId="21" fillId="3" borderId="17" xfId="2" applyFont="1" applyFill="1" applyBorder="1" applyAlignment="1">
      <alignment vertical="top"/>
    </xf>
    <xf numFmtId="3" fontId="21" fillId="3" borderId="17" xfId="2" applyNumberFormat="1" applyFont="1" applyFill="1" applyBorder="1" applyAlignment="1" applyProtection="1">
      <alignment horizontal="right" vertical="top"/>
      <protection locked="0"/>
    </xf>
    <xf numFmtId="3" fontId="21" fillId="3" borderId="53" xfId="2" applyNumberFormat="1" applyFont="1" applyFill="1" applyBorder="1" applyAlignment="1" applyProtection="1">
      <alignment horizontal="right" vertical="top"/>
      <protection locked="0"/>
    </xf>
    <xf numFmtId="0" fontId="21" fillId="3" borderId="2" xfId="2" applyFont="1" applyFill="1" applyBorder="1" applyAlignment="1">
      <alignment vertical="top"/>
    </xf>
    <xf numFmtId="3" fontId="21" fillId="3" borderId="59" xfId="2" applyNumberFormat="1" applyFont="1" applyFill="1" applyBorder="1" applyAlignment="1" applyProtection="1">
      <alignment horizontal="right" vertical="top"/>
      <protection locked="0"/>
    </xf>
    <xf numFmtId="3" fontId="37" fillId="11" borderId="24" xfId="2" applyNumberFormat="1" applyFont="1" applyFill="1" applyBorder="1" applyAlignment="1" applyProtection="1">
      <alignment horizontal="right" vertical="top"/>
      <protection locked="0"/>
    </xf>
    <xf numFmtId="0" fontId="21" fillId="3" borderId="85" xfId="2" applyFont="1" applyFill="1" applyBorder="1" applyAlignment="1">
      <alignment vertical="top"/>
    </xf>
    <xf numFmtId="0" fontId="37" fillId="0" borderId="16" xfId="2" applyFont="1" applyFill="1" applyBorder="1" applyAlignment="1">
      <alignment vertical="top"/>
    </xf>
    <xf numFmtId="3" fontId="37" fillId="11" borderId="86" xfId="2" applyNumberFormat="1" applyFont="1" applyFill="1" applyBorder="1" applyAlignment="1" applyProtection="1">
      <alignment horizontal="right" vertical="top"/>
      <protection locked="0"/>
    </xf>
    <xf numFmtId="3" fontId="37" fillId="11" borderId="92" xfId="2" applyNumberFormat="1" applyFont="1" applyFill="1" applyBorder="1" applyAlignment="1" applyProtection="1">
      <alignment horizontal="right" vertical="top"/>
      <protection locked="0"/>
    </xf>
    <xf numFmtId="3" fontId="37" fillId="11" borderId="72" xfId="2" applyNumberFormat="1" applyFont="1" applyFill="1" applyBorder="1" applyAlignment="1" applyProtection="1">
      <alignment horizontal="right" vertical="top"/>
      <protection locked="0"/>
    </xf>
    <xf numFmtId="3" fontId="21" fillId="3" borderId="85" xfId="2" applyNumberFormat="1" applyFont="1" applyFill="1" applyBorder="1" applyAlignment="1" applyProtection="1">
      <alignment horizontal="right" vertical="top"/>
      <protection locked="0"/>
    </xf>
    <xf numFmtId="3" fontId="21" fillId="3" borderId="48" xfId="2" applyNumberFormat="1" applyFont="1" applyFill="1" applyBorder="1" applyAlignment="1" applyProtection="1">
      <alignment horizontal="right" vertical="top"/>
      <protection locked="0"/>
    </xf>
    <xf numFmtId="3" fontId="37" fillId="11" borderId="7" xfId="2" applyNumberFormat="1" applyFont="1" applyFill="1" applyBorder="1" applyAlignment="1" applyProtection="1">
      <alignment horizontal="right" vertical="top"/>
      <protection locked="0"/>
    </xf>
    <xf numFmtId="3" fontId="37" fillId="11" borderId="78" xfId="2" applyNumberFormat="1" applyFont="1" applyFill="1" applyBorder="1" applyAlignment="1" applyProtection="1">
      <alignment horizontal="right" vertical="top"/>
      <protection locked="0"/>
    </xf>
    <xf numFmtId="0" fontId="21" fillId="3" borderId="76" xfId="2" applyFont="1" applyFill="1" applyBorder="1" applyAlignment="1">
      <alignment vertical="top"/>
    </xf>
    <xf numFmtId="3" fontId="21" fillId="3" borderId="47" xfId="2" applyNumberFormat="1" applyFont="1" applyFill="1" applyBorder="1" applyAlignment="1" applyProtection="1">
      <alignment horizontal="right" vertical="top"/>
      <protection locked="0"/>
    </xf>
    <xf numFmtId="3" fontId="21" fillId="3" borderId="97" xfId="2" applyNumberFormat="1" applyFont="1" applyFill="1" applyBorder="1" applyAlignment="1" applyProtection="1">
      <alignment horizontal="right" vertical="top"/>
      <protection locked="0"/>
    </xf>
    <xf numFmtId="0" fontId="37" fillId="0" borderId="65" xfId="2" applyFont="1" applyFill="1" applyBorder="1" applyAlignment="1">
      <alignment vertical="top"/>
    </xf>
    <xf numFmtId="0" fontId="37" fillId="0" borderId="61" xfId="2" applyFont="1" applyFill="1" applyBorder="1" applyAlignment="1">
      <alignment vertical="top"/>
    </xf>
    <xf numFmtId="3" fontId="37" fillId="0" borderId="0" xfId="2" applyNumberFormat="1" applyFont="1" applyFill="1" applyBorder="1" applyAlignment="1" applyProtection="1">
      <alignment horizontal="right" vertical="top"/>
      <protection locked="0"/>
    </xf>
    <xf numFmtId="3" fontId="37" fillId="0" borderId="98" xfId="2" applyNumberFormat="1" applyFont="1" applyFill="1" applyBorder="1" applyAlignment="1" applyProtection="1">
      <alignment horizontal="right" vertical="top"/>
      <protection locked="0"/>
    </xf>
    <xf numFmtId="3" fontId="37" fillId="0" borderId="1" xfId="2" applyNumberFormat="1" applyFont="1" applyFill="1" applyBorder="1" applyAlignment="1" applyProtection="1">
      <alignment horizontal="right" vertical="top"/>
      <protection locked="0"/>
    </xf>
    <xf numFmtId="0" fontId="21" fillId="0" borderId="59" xfId="2" applyFont="1" applyFill="1" applyBorder="1" applyAlignment="1">
      <alignment vertical="top"/>
    </xf>
    <xf numFmtId="0" fontId="21" fillId="0" borderId="99" xfId="2" applyFont="1" applyFill="1" applyBorder="1" applyAlignment="1">
      <alignment vertical="top" wrapText="1"/>
    </xf>
    <xf numFmtId="0" fontId="21" fillId="0" borderId="14" xfId="2" applyBorder="1" applyAlignment="1">
      <alignment vertical="top" wrapText="1"/>
    </xf>
    <xf numFmtId="3" fontId="21" fillId="0" borderId="0" xfId="2" applyNumberFormat="1" applyFont="1" applyFill="1" applyAlignment="1">
      <alignment horizontal="center" vertical="top"/>
    </xf>
    <xf numFmtId="3" fontId="37" fillId="0" borderId="3" xfId="0" applyNumberFormat="1" applyFont="1" applyFill="1" applyBorder="1" applyAlignment="1">
      <alignment horizontal="center" vertical="top" wrapText="1"/>
    </xf>
    <xf numFmtId="3" fontId="37" fillId="0" borderId="3" xfId="0" applyNumberFormat="1" applyFont="1" applyFill="1" applyBorder="1" applyAlignment="1">
      <alignment horizontal="center" vertical="top"/>
    </xf>
    <xf numFmtId="14" fontId="0" fillId="0" borderId="0" xfId="0" applyNumberFormat="1" applyFill="1"/>
    <xf numFmtId="3" fontId="21" fillId="11" borderId="32" xfId="2" applyNumberFormat="1" applyFont="1" applyFill="1" applyBorder="1" applyAlignment="1" applyProtection="1">
      <alignment horizontal="right" vertical="top"/>
      <protection locked="0"/>
    </xf>
    <xf numFmtId="3" fontId="38" fillId="4" borderId="23" xfId="2" applyNumberFormat="1" applyFont="1" applyFill="1" applyBorder="1" applyAlignment="1" applyProtection="1">
      <alignment horizontal="right" vertical="top"/>
      <protection locked="0"/>
    </xf>
    <xf numFmtId="3" fontId="21" fillId="12" borderId="23" xfId="2" applyNumberFormat="1" applyFont="1" applyFill="1" applyBorder="1" applyAlignment="1" applyProtection="1">
      <alignment horizontal="right" vertical="top"/>
      <protection locked="0"/>
    </xf>
    <xf numFmtId="3" fontId="38" fillId="3" borderId="22" xfId="2" applyNumberFormat="1" applyFont="1" applyFill="1" applyBorder="1" applyAlignment="1" applyProtection="1">
      <alignment horizontal="right" vertical="top"/>
      <protection locked="0"/>
    </xf>
    <xf numFmtId="0" fontId="21" fillId="0" borderId="29" xfId="2" applyFont="1" applyFill="1" applyBorder="1" applyAlignment="1">
      <alignment vertical="top" wrapText="1"/>
    </xf>
    <xf numFmtId="3" fontId="21" fillId="0" borderId="26" xfId="2" applyNumberFormat="1" applyFont="1" applyFill="1" applyBorder="1" applyAlignment="1" applyProtection="1">
      <alignment horizontal="right" vertical="top"/>
      <protection locked="0"/>
    </xf>
    <xf numFmtId="0" fontId="21" fillId="11" borderId="13" xfId="2" applyFont="1" applyFill="1" applyBorder="1" applyAlignment="1">
      <alignment vertical="top" wrapText="1"/>
    </xf>
    <xf numFmtId="0" fontId="21" fillId="11" borderId="90" xfId="2" applyFont="1" applyFill="1" applyBorder="1" applyAlignment="1">
      <alignment vertical="top" wrapText="1"/>
    </xf>
    <xf numFmtId="0" fontId="21" fillId="11" borderId="58" xfId="2" applyFont="1" applyFill="1" applyBorder="1" applyAlignment="1">
      <alignment vertical="top" wrapText="1"/>
    </xf>
    <xf numFmtId="0" fontId="21" fillId="11" borderId="14" xfId="2" applyFont="1" applyFill="1" applyBorder="1" applyAlignment="1">
      <alignment vertical="top" wrapText="1"/>
    </xf>
    <xf numFmtId="0" fontId="34" fillId="0" borderId="17" xfId="0" applyFont="1" applyFill="1" applyBorder="1" applyAlignment="1">
      <alignment horizontal="left" vertical="top" wrapText="1"/>
    </xf>
    <xf numFmtId="0" fontId="21" fillId="6" borderId="0" xfId="0" applyFont="1" applyFill="1" applyBorder="1"/>
    <xf numFmtId="0" fontId="21" fillId="14" borderId="0" xfId="2" applyFill="1" applyAlignment="1">
      <alignment vertical="top"/>
    </xf>
    <xf numFmtId="0" fontId="0" fillId="14" borderId="0" xfId="0" applyFill="1"/>
    <xf numFmtId="0" fontId="0" fillId="2" borderId="0" xfId="0" applyFill="1" applyBorder="1" applyAlignment="1">
      <alignment vertical="top"/>
    </xf>
    <xf numFmtId="0" fontId="33" fillId="0" borderId="0" xfId="0" applyFont="1" applyFill="1" applyBorder="1" applyAlignment="1">
      <alignment horizontal="left"/>
    </xf>
    <xf numFmtId="0" fontId="38" fillId="0" borderId="59" xfId="2" applyFont="1" applyFill="1" applyBorder="1" applyAlignment="1">
      <alignment horizontal="left" vertical="top" wrapText="1" indent="2"/>
    </xf>
    <xf numFmtId="0" fontId="38" fillId="0" borderId="57" xfId="2" applyFont="1" applyFill="1" applyBorder="1" applyAlignment="1">
      <alignment vertical="top"/>
    </xf>
    <xf numFmtId="0" fontId="38" fillId="0" borderId="68" xfId="2" applyFont="1" applyFill="1" applyBorder="1" applyAlignment="1">
      <alignment horizontal="left" vertical="top"/>
    </xf>
    <xf numFmtId="0" fontId="21" fillId="3" borderId="14" xfId="0" applyFont="1" applyFill="1" applyBorder="1" applyAlignment="1">
      <alignment horizontal="left" vertical="top" wrapText="1"/>
    </xf>
    <xf numFmtId="0" fontId="21" fillId="2" borderId="0" xfId="2" applyFont="1" applyFill="1" applyAlignment="1">
      <alignment vertical="top"/>
    </xf>
    <xf numFmtId="0" fontId="21" fillId="3" borderId="18" xfId="2" applyFont="1" applyFill="1" applyBorder="1" applyAlignment="1">
      <alignment horizontal="left" vertical="top" wrapText="1"/>
    </xf>
    <xf numFmtId="0" fontId="37" fillId="3" borderId="29" xfId="2" applyFont="1" applyFill="1" applyBorder="1" applyAlignment="1">
      <alignment vertical="top"/>
    </xf>
    <xf numFmtId="3" fontId="37" fillId="5" borderId="46" xfId="2" applyNumberFormat="1" applyFont="1" applyFill="1" applyBorder="1" applyAlignment="1" applyProtection="1">
      <alignment horizontal="right" vertical="top"/>
      <protection locked="0"/>
    </xf>
    <xf numFmtId="0" fontId="37" fillId="0" borderId="0" xfId="2" applyFont="1" applyFill="1" applyBorder="1" applyAlignment="1">
      <alignment vertical="top" wrapText="1"/>
    </xf>
    <xf numFmtId="0" fontId="21" fillId="0" borderId="0" xfId="2" applyBorder="1" applyAlignment="1">
      <alignment vertical="top" wrapText="1"/>
    </xf>
    <xf numFmtId="0" fontId="21" fillId="11" borderId="37" xfId="2" applyFont="1" applyFill="1" applyBorder="1" applyAlignment="1">
      <alignment vertical="top" wrapText="1"/>
    </xf>
    <xf numFmtId="3" fontId="38" fillId="3" borderId="38" xfId="2" applyNumberFormat="1" applyFont="1" applyFill="1" applyBorder="1" applyAlignment="1" applyProtection="1">
      <alignment horizontal="right" vertical="top"/>
      <protection locked="0"/>
    </xf>
    <xf numFmtId="3" fontId="38" fillId="3" borderId="39" xfId="2" applyNumberFormat="1" applyFont="1" applyFill="1" applyBorder="1" applyAlignment="1" applyProtection="1">
      <alignment horizontal="right" vertical="top"/>
      <protection locked="0"/>
    </xf>
    <xf numFmtId="0" fontId="21" fillId="0" borderId="0" xfId="0" applyFont="1" applyFill="1" applyBorder="1"/>
    <xf numFmtId="3" fontId="37" fillId="5" borderId="6" xfId="2" applyNumberFormat="1" applyFont="1" applyFill="1" applyBorder="1" applyAlignment="1" applyProtection="1">
      <alignment horizontal="right" vertical="top"/>
      <protection locked="0"/>
    </xf>
    <xf numFmtId="0" fontId="21" fillId="2" borderId="0" xfId="0" applyFont="1" applyFill="1" applyBorder="1" applyAlignment="1">
      <alignment vertical="top"/>
    </xf>
    <xf numFmtId="3" fontId="21" fillId="3" borderId="32" xfId="2" applyNumberFormat="1" applyFont="1" applyFill="1" applyBorder="1" applyAlignment="1" applyProtection="1">
      <alignment horizontal="right" vertical="top"/>
      <protection locked="0"/>
    </xf>
    <xf numFmtId="3" fontId="21" fillId="3" borderId="33" xfId="2" applyNumberFormat="1" applyFont="1" applyFill="1" applyBorder="1" applyAlignment="1" applyProtection="1">
      <alignment horizontal="right" vertical="top"/>
      <protection locked="0"/>
    </xf>
    <xf numFmtId="3" fontId="21" fillId="3" borderId="22" xfId="2" applyNumberFormat="1" applyFont="1" applyFill="1" applyBorder="1" applyAlignment="1" applyProtection="1">
      <alignment horizontal="right" vertical="top"/>
      <protection locked="0"/>
    </xf>
    <xf numFmtId="3" fontId="21" fillId="3" borderId="23" xfId="2" applyNumberFormat="1" applyFont="1" applyFill="1" applyBorder="1" applyAlignment="1" applyProtection="1">
      <alignment horizontal="right" vertical="top"/>
      <protection locked="0"/>
    </xf>
    <xf numFmtId="3" fontId="21" fillId="3" borderId="19" xfId="2" applyNumberFormat="1" applyFont="1" applyFill="1" applyBorder="1" applyAlignment="1" applyProtection="1">
      <alignment horizontal="right" vertical="top"/>
      <protection locked="0"/>
    </xf>
    <xf numFmtId="3" fontId="21" fillId="3" borderId="20" xfId="2" applyNumberFormat="1" applyFont="1" applyFill="1" applyBorder="1" applyAlignment="1" applyProtection="1">
      <alignment horizontal="right" vertical="top"/>
      <protection locked="0"/>
    </xf>
    <xf numFmtId="3" fontId="37" fillId="5" borderId="108" xfId="2" applyNumberFormat="1" applyFont="1" applyFill="1" applyBorder="1" applyAlignment="1" applyProtection="1">
      <alignment horizontal="right" vertical="top"/>
      <protection locked="0"/>
    </xf>
    <xf numFmtId="3" fontId="21" fillId="3" borderId="109" xfId="2" applyNumberFormat="1" applyFont="1" applyFill="1" applyBorder="1" applyAlignment="1" applyProtection="1">
      <alignment horizontal="right" vertical="top"/>
      <protection locked="0"/>
    </xf>
    <xf numFmtId="3" fontId="37" fillId="11" borderId="63" xfId="2" applyNumberFormat="1" applyFont="1" applyFill="1" applyBorder="1" applyAlignment="1" applyProtection="1">
      <alignment horizontal="right" vertical="top"/>
      <protection locked="0"/>
    </xf>
    <xf numFmtId="3" fontId="37" fillId="11" borderId="110" xfId="2" applyNumberFormat="1" applyFont="1" applyFill="1" applyBorder="1" applyAlignment="1" applyProtection="1">
      <alignment horizontal="right" vertical="top"/>
      <protection locked="0"/>
    </xf>
    <xf numFmtId="3" fontId="37" fillId="7" borderId="11" xfId="2" applyNumberFormat="1" applyFont="1" applyFill="1" applyBorder="1" applyAlignment="1" applyProtection="1">
      <alignment horizontal="right" vertical="top"/>
      <protection locked="0"/>
    </xf>
    <xf numFmtId="3" fontId="37" fillId="0" borderId="6" xfId="2" applyNumberFormat="1" applyFont="1" applyFill="1" applyBorder="1" applyAlignment="1" applyProtection="1">
      <alignment horizontal="right" vertical="top"/>
      <protection locked="0"/>
    </xf>
    <xf numFmtId="3" fontId="37" fillId="7" borderId="0" xfId="2" applyNumberFormat="1" applyFont="1" applyFill="1" applyBorder="1" applyAlignment="1">
      <alignment horizontal="center" vertical="top"/>
    </xf>
    <xf numFmtId="3" fontId="21" fillId="3" borderId="0" xfId="2" applyNumberFormat="1" applyFont="1" applyFill="1" applyBorder="1" applyAlignment="1">
      <alignment vertical="top"/>
    </xf>
    <xf numFmtId="0" fontId="32" fillId="0" borderId="3" xfId="2" applyFont="1" applyFill="1" applyBorder="1" applyAlignment="1">
      <alignment horizontal="center" vertical="top"/>
    </xf>
    <xf numFmtId="0" fontId="37" fillId="3" borderId="10" xfId="2" applyFont="1" applyFill="1" applyBorder="1" applyAlignment="1">
      <alignment vertical="top"/>
    </xf>
    <xf numFmtId="3" fontId="37" fillId="3" borderId="12" xfId="2" applyNumberFormat="1" applyFont="1" applyFill="1" applyBorder="1" applyAlignment="1">
      <alignment horizontal="center" vertical="top"/>
    </xf>
    <xf numFmtId="0" fontId="21" fillId="3" borderId="10" xfId="2" applyFont="1" applyFill="1" applyBorder="1" applyAlignment="1">
      <alignment vertical="top" wrapText="1"/>
    </xf>
    <xf numFmtId="0" fontId="21" fillId="3" borderId="10" xfId="2" applyFont="1" applyFill="1" applyBorder="1" applyAlignment="1">
      <alignment vertical="top"/>
    </xf>
    <xf numFmtId="3" fontId="21" fillId="3" borderId="11" xfId="2" applyNumberFormat="1" applyFont="1" applyFill="1" applyBorder="1" applyAlignment="1" applyProtection="1">
      <alignment horizontal="right" vertical="top"/>
      <protection locked="0"/>
    </xf>
    <xf numFmtId="3" fontId="21" fillId="3" borderId="12" xfId="2" applyNumberFormat="1" applyFont="1" applyFill="1" applyBorder="1" applyAlignment="1" applyProtection="1">
      <alignment horizontal="right" vertical="top"/>
      <protection locked="0"/>
    </xf>
    <xf numFmtId="3" fontId="38" fillId="6" borderId="22" xfId="2" applyNumberFormat="1" applyFont="1" applyFill="1" applyBorder="1" applyAlignment="1" applyProtection="1">
      <alignment horizontal="right" vertical="top"/>
      <protection locked="0"/>
    </xf>
    <xf numFmtId="3" fontId="38" fillId="6" borderId="23" xfId="2" applyNumberFormat="1" applyFont="1" applyFill="1" applyBorder="1" applyAlignment="1" applyProtection="1">
      <alignment horizontal="right" vertical="top"/>
      <protection locked="0"/>
    </xf>
    <xf numFmtId="3" fontId="21" fillId="6" borderId="22" xfId="2" applyNumberFormat="1" applyFont="1" applyFill="1" applyBorder="1" applyAlignment="1" applyProtection="1">
      <alignment horizontal="right" vertical="top"/>
      <protection locked="0"/>
    </xf>
    <xf numFmtId="3" fontId="21" fillId="6" borderId="23" xfId="2" applyNumberFormat="1" applyFont="1" applyFill="1" applyBorder="1" applyAlignment="1" applyProtection="1">
      <alignment horizontal="right" vertical="top"/>
      <protection locked="0"/>
    </xf>
    <xf numFmtId="3" fontId="38" fillId="6" borderId="26" xfId="2" applyNumberFormat="1" applyFont="1" applyFill="1" applyBorder="1" applyAlignment="1" applyProtection="1">
      <alignment horizontal="right" vertical="top"/>
      <protection locked="0"/>
    </xf>
    <xf numFmtId="3" fontId="38" fillId="6" borderId="27" xfId="2" applyNumberFormat="1" applyFont="1" applyFill="1" applyBorder="1" applyAlignment="1" applyProtection="1">
      <alignment horizontal="right" vertical="top"/>
      <protection locked="0"/>
    </xf>
    <xf numFmtId="3" fontId="21" fillId="3" borderId="111" xfId="2" applyNumberFormat="1" applyFont="1" applyFill="1" applyBorder="1" applyAlignment="1" applyProtection="1">
      <alignment horizontal="right" vertical="top"/>
      <protection locked="0"/>
    </xf>
    <xf numFmtId="0" fontId="21" fillId="3" borderId="25" xfId="2" applyFont="1" applyFill="1" applyBorder="1" applyAlignment="1">
      <alignment horizontal="left" vertical="top" wrapText="1"/>
    </xf>
    <xf numFmtId="3" fontId="37" fillId="7" borderId="12" xfId="2" applyNumberFormat="1" applyFont="1" applyFill="1" applyBorder="1" applyAlignment="1" applyProtection="1">
      <alignment horizontal="right" vertical="top"/>
      <protection locked="0"/>
    </xf>
    <xf numFmtId="3" fontId="36" fillId="5" borderId="21" xfId="2" applyNumberFormat="1" applyFont="1" applyFill="1" applyBorder="1" applyAlignment="1" applyProtection="1">
      <alignment horizontal="right" vertical="top"/>
      <protection locked="0"/>
    </xf>
    <xf numFmtId="0" fontId="21" fillId="5" borderId="6" xfId="2" applyFont="1" applyFill="1" applyBorder="1" applyAlignment="1">
      <alignment vertical="top" wrapText="1"/>
    </xf>
    <xf numFmtId="3" fontId="37" fillId="16" borderId="22" xfId="2" applyNumberFormat="1" applyFont="1" applyFill="1" applyBorder="1" applyAlignment="1" applyProtection="1">
      <alignment horizontal="right" vertical="top"/>
      <protection locked="0"/>
    </xf>
    <xf numFmtId="3" fontId="37" fillId="16" borderId="23" xfId="2" applyNumberFormat="1" applyFont="1" applyFill="1" applyBorder="1" applyAlignment="1" applyProtection="1">
      <alignment horizontal="right" vertical="top"/>
      <protection locked="0"/>
    </xf>
    <xf numFmtId="3" fontId="38" fillId="0" borderId="47" xfId="2" applyNumberFormat="1" applyFont="1" applyFill="1" applyBorder="1" applyAlignment="1" applyProtection="1">
      <alignment horizontal="right" vertical="top"/>
      <protection locked="0"/>
    </xf>
    <xf numFmtId="3" fontId="38" fillId="0" borderId="48" xfId="2" applyNumberFormat="1" applyFont="1" applyFill="1" applyBorder="1" applyAlignment="1" applyProtection="1">
      <alignment horizontal="right" vertical="top"/>
      <protection locked="0"/>
    </xf>
    <xf numFmtId="3" fontId="36" fillId="5" borderId="49" xfId="2" applyNumberFormat="1" applyFont="1" applyFill="1" applyBorder="1" applyAlignment="1" applyProtection="1">
      <alignment horizontal="right" vertical="top"/>
      <protection locked="0"/>
    </xf>
    <xf numFmtId="0" fontId="64" fillId="6" borderId="0" xfId="0" applyFont="1" applyFill="1"/>
    <xf numFmtId="0" fontId="64" fillId="2" borderId="0" xfId="0" applyFont="1" applyFill="1"/>
    <xf numFmtId="0" fontId="64" fillId="4" borderId="0" xfId="0" applyFont="1" applyFill="1"/>
    <xf numFmtId="0" fontId="64" fillId="2" borderId="0" xfId="0" applyFont="1" applyFill="1" applyAlignment="1">
      <alignment vertical="top"/>
    </xf>
    <xf numFmtId="0" fontId="72" fillId="2" borderId="0" xfId="2" applyFont="1" applyFill="1" applyAlignment="1">
      <alignment vertical="top"/>
    </xf>
    <xf numFmtId="3" fontId="36" fillId="0" borderId="24" xfId="2" applyNumberFormat="1" applyFont="1" applyFill="1" applyBorder="1" applyAlignment="1" applyProtection="1">
      <alignment horizontal="right" vertical="top"/>
      <protection locked="0"/>
    </xf>
    <xf numFmtId="0" fontId="27" fillId="0" borderId="0" xfId="0" applyFont="1" applyFill="1" applyBorder="1" applyAlignment="1">
      <alignment horizontal="left"/>
    </xf>
    <xf numFmtId="0" fontId="21" fillId="3" borderId="0" xfId="0" applyFont="1" applyFill="1" applyBorder="1" applyAlignment="1">
      <alignment horizontal="center"/>
    </xf>
    <xf numFmtId="0" fontId="21" fillId="0" borderId="17" xfId="0" applyFont="1" applyFill="1" applyBorder="1"/>
    <xf numFmtId="0" fontId="21" fillId="0" borderId="67" xfId="0" applyFont="1" applyFill="1" applyBorder="1"/>
    <xf numFmtId="0" fontId="21" fillId="0" borderId="55" xfId="0" applyFont="1" applyFill="1" applyBorder="1"/>
    <xf numFmtId="0" fontId="21" fillId="0" borderId="0" xfId="0" applyFont="1" applyFill="1" applyBorder="1" applyAlignment="1">
      <alignment horizontal="center"/>
    </xf>
    <xf numFmtId="0" fontId="21" fillId="0" borderId="1" xfId="0" applyFont="1" applyFill="1" applyBorder="1" applyAlignment="1">
      <alignment horizontal="center"/>
    </xf>
    <xf numFmtId="0" fontId="21" fillId="3" borderId="2" xfId="0" applyFont="1" applyFill="1" applyBorder="1"/>
    <xf numFmtId="0" fontId="21" fillId="3" borderId="0" xfId="0" applyFont="1" applyFill="1" applyBorder="1"/>
    <xf numFmtId="0" fontId="21" fillId="3" borderId="1" xfId="0" applyFont="1" applyFill="1" applyBorder="1" applyAlignment="1">
      <alignment horizontal="center"/>
    </xf>
    <xf numFmtId="0" fontId="21" fillId="3" borderId="4" xfId="0" applyFont="1" applyFill="1" applyBorder="1"/>
    <xf numFmtId="0" fontId="21" fillId="3" borderId="3" xfId="0" applyFont="1" applyFill="1" applyBorder="1"/>
    <xf numFmtId="0" fontId="21" fillId="3" borderId="3" xfId="0" applyFont="1" applyFill="1" applyBorder="1" applyAlignment="1">
      <alignment horizontal="center"/>
    </xf>
    <xf numFmtId="0" fontId="21" fillId="3" borderId="5" xfId="0" applyFont="1" applyFill="1" applyBorder="1" applyAlignment="1">
      <alignment horizontal="center"/>
    </xf>
    <xf numFmtId="0" fontId="21" fillId="2" borderId="0" xfId="0" applyFont="1" applyFill="1" applyAlignment="1">
      <alignment horizontal="center"/>
    </xf>
    <xf numFmtId="0" fontId="21" fillId="2" borderId="0" xfId="0" applyFont="1" applyFill="1" applyBorder="1" applyAlignment="1">
      <alignment horizontal="center"/>
    </xf>
    <xf numFmtId="3" fontId="36" fillId="0" borderId="28" xfId="2" applyNumberFormat="1" applyFont="1" applyFill="1" applyBorder="1" applyAlignment="1" applyProtection="1">
      <alignment horizontal="right" vertical="top"/>
      <protection locked="0"/>
    </xf>
    <xf numFmtId="0" fontId="21" fillId="3" borderId="0" xfId="2" applyFont="1" applyFill="1" applyBorder="1" applyAlignment="1">
      <alignment vertical="top"/>
    </xf>
    <xf numFmtId="3" fontId="21" fillId="3" borderId="0" xfId="2" applyNumberFormat="1" applyFont="1" applyFill="1" applyBorder="1" applyAlignment="1" applyProtection="1">
      <alignment horizontal="right" vertical="top"/>
      <protection locked="0"/>
    </xf>
    <xf numFmtId="3" fontId="21" fillId="3" borderId="67" xfId="2" applyNumberFormat="1" applyFont="1" applyFill="1" applyBorder="1" applyAlignment="1" applyProtection="1">
      <alignment horizontal="right" vertical="top"/>
      <protection locked="0"/>
    </xf>
    <xf numFmtId="3" fontId="21" fillId="3" borderId="55" xfId="2" applyNumberFormat="1" applyFont="1" applyFill="1" applyBorder="1" applyAlignment="1" applyProtection="1">
      <alignment horizontal="right" vertical="top"/>
      <protection locked="0"/>
    </xf>
    <xf numFmtId="3" fontId="37" fillId="0" borderId="29" xfId="2" applyNumberFormat="1" applyFont="1" applyFill="1" applyBorder="1" applyAlignment="1" applyProtection="1">
      <alignment horizontal="right" vertical="top"/>
      <protection locked="0"/>
    </xf>
    <xf numFmtId="3" fontId="37" fillId="3" borderId="11" xfId="2" applyNumberFormat="1" applyFont="1" applyFill="1" applyBorder="1" applyAlignment="1">
      <alignment horizontal="center" vertical="top"/>
    </xf>
    <xf numFmtId="0" fontId="21" fillId="0" borderId="0" xfId="0" applyFont="1" applyAlignment="1">
      <alignment vertical="top" wrapText="1"/>
    </xf>
    <xf numFmtId="3" fontId="37" fillId="7" borderId="50" xfId="2" applyNumberFormat="1" applyFont="1" applyFill="1" applyBorder="1" applyAlignment="1" applyProtection="1">
      <alignment horizontal="right" vertical="top"/>
      <protection locked="0"/>
    </xf>
    <xf numFmtId="3" fontId="37" fillId="7" borderId="66" xfId="2" applyNumberFormat="1" applyFont="1" applyFill="1" applyBorder="1" applyAlignment="1" applyProtection="1">
      <alignment horizontal="right" vertical="top"/>
      <protection locked="0"/>
    </xf>
    <xf numFmtId="3" fontId="37" fillId="5" borderId="5" xfId="2" applyNumberFormat="1" applyFont="1" applyFill="1" applyBorder="1" applyAlignment="1" applyProtection="1">
      <alignment horizontal="right" vertical="top"/>
      <protection locked="0"/>
    </xf>
    <xf numFmtId="0" fontId="21" fillId="0" borderId="0" xfId="0" quotePrefix="1" applyNumberFormat="1" applyFont="1"/>
    <xf numFmtId="0" fontId="37" fillId="0" borderId="57" xfId="2" applyFont="1" applyFill="1" applyBorder="1" applyAlignment="1">
      <alignment horizontal="left" vertical="top"/>
    </xf>
    <xf numFmtId="0" fontId="37" fillId="0" borderId="57" xfId="2" applyFont="1" applyFill="1" applyBorder="1" applyAlignment="1">
      <alignment vertical="top"/>
    </xf>
    <xf numFmtId="0" fontId="21" fillId="0" borderId="3" xfId="2" applyFont="1" applyFill="1" applyBorder="1" applyAlignment="1">
      <alignment vertical="top" wrapText="1"/>
    </xf>
    <xf numFmtId="0" fontId="21" fillId="6" borderId="0" xfId="0" applyFont="1" applyFill="1"/>
    <xf numFmtId="0" fontId="21" fillId="7" borderId="0" xfId="0" applyFont="1" applyFill="1" applyBorder="1" applyAlignment="1">
      <alignment vertical="top" wrapText="1"/>
    </xf>
    <xf numFmtId="0" fontId="21" fillId="0" borderId="0" xfId="0" applyFont="1" applyFill="1" applyBorder="1" applyAlignment="1">
      <alignment horizontal="left" vertical="top" wrapText="1"/>
    </xf>
    <xf numFmtId="0" fontId="21" fillId="3" borderId="0" xfId="0" applyFont="1" applyFill="1" applyBorder="1" applyAlignment="1">
      <alignment vertical="top" wrapText="1"/>
    </xf>
    <xf numFmtId="0" fontId="21" fillId="5" borderId="30" xfId="2" applyFont="1" applyFill="1" applyBorder="1" applyAlignment="1">
      <alignment vertical="top" wrapText="1"/>
    </xf>
    <xf numFmtId="0" fontId="37" fillId="0" borderId="30" xfId="2" applyFont="1" applyFill="1" applyBorder="1" applyAlignment="1">
      <alignment vertical="top" wrapText="1"/>
    </xf>
    <xf numFmtId="3" fontId="21" fillId="0" borderId="32" xfId="2" applyNumberFormat="1" applyFont="1" applyFill="1" applyBorder="1" applyAlignment="1" applyProtection="1">
      <alignment horizontal="right" vertical="top"/>
      <protection locked="0"/>
    </xf>
    <xf numFmtId="0" fontId="37" fillId="0" borderId="4" xfId="2" applyFont="1" applyFill="1" applyBorder="1" applyAlignment="1">
      <alignment vertical="top" wrapText="1"/>
    </xf>
    <xf numFmtId="0" fontId="64" fillId="2" borderId="0" xfId="0" applyFont="1" applyFill="1" applyBorder="1" applyAlignment="1">
      <alignment vertical="top"/>
    </xf>
    <xf numFmtId="0" fontId="24" fillId="0" borderId="0" xfId="0" applyFont="1" applyFill="1" applyBorder="1" applyAlignment="1">
      <alignment horizontal="left"/>
    </xf>
    <xf numFmtId="0" fontId="21" fillId="6" borderId="0" xfId="2" applyFont="1" applyFill="1" applyAlignment="1">
      <alignment vertical="top"/>
    </xf>
    <xf numFmtId="0" fontId="21" fillId="0" borderId="58" xfId="2" applyBorder="1" applyAlignment="1">
      <alignment vertical="top" wrapText="1"/>
    </xf>
    <xf numFmtId="0" fontId="37" fillId="0" borderId="16" xfId="2" applyFont="1" applyFill="1" applyBorder="1" applyAlignment="1">
      <alignment vertical="top" wrapText="1"/>
    </xf>
    <xf numFmtId="0" fontId="38" fillId="0" borderId="14" xfId="2" applyFont="1" applyFill="1" applyBorder="1" applyAlignment="1">
      <alignment horizontal="left" vertical="top" wrapText="1" indent="2"/>
    </xf>
    <xf numFmtId="0" fontId="38" fillId="0" borderId="68" xfId="2" applyFont="1" applyFill="1" applyBorder="1" applyAlignment="1">
      <alignment horizontal="left" vertical="top" indent="2"/>
    </xf>
    <xf numFmtId="0" fontId="21" fillId="0" borderId="58" xfId="2" applyFont="1" applyFill="1" applyBorder="1" applyAlignment="1">
      <alignment vertical="top" wrapText="1"/>
    </xf>
    <xf numFmtId="0" fontId="21" fillId="0" borderId="57" xfId="2" applyFont="1" applyFill="1" applyBorder="1" applyAlignment="1">
      <alignment vertical="top" wrapText="1"/>
    </xf>
    <xf numFmtId="0" fontId="21" fillId="0" borderId="68" xfId="2" applyFont="1" applyFill="1" applyBorder="1" applyAlignment="1">
      <alignment vertical="top" wrapText="1"/>
    </xf>
    <xf numFmtId="0" fontId="21" fillId="0" borderId="1" xfId="2" applyFont="1" applyFill="1" applyBorder="1" applyAlignment="1">
      <alignment vertical="top" wrapText="1"/>
    </xf>
    <xf numFmtId="0" fontId="21" fillId="0" borderId="59" xfId="2" applyFont="1" applyFill="1" applyBorder="1" applyAlignment="1">
      <alignment vertical="top" wrapText="1"/>
    </xf>
    <xf numFmtId="0" fontId="21" fillId="0" borderId="18" xfId="2" applyFont="1" applyFill="1" applyBorder="1" applyAlignment="1">
      <alignment vertical="top" wrapText="1"/>
    </xf>
    <xf numFmtId="0" fontId="21" fillId="0" borderId="15" xfId="2" applyFont="1" applyFill="1" applyBorder="1" applyAlignment="1">
      <alignment vertical="top" wrapText="1"/>
    </xf>
    <xf numFmtId="0" fontId="21" fillId="5" borderId="16" xfId="2" applyFont="1" applyFill="1" applyBorder="1" applyAlignment="1">
      <alignment vertical="top" wrapText="1"/>
    </xf>
    <xf numFmtId="3" fontId="21" fillId="3" borderId="31" xfId="2" applyNumberFormat="1" applyFont="1" applyFill="1" applyBorder="1" applyAlignment="1" applyProtection="1">
      <alignment horizontal="right" vertical="top"/>
      <protection locked="0"/>
    </xf>
    <xf numFmtId="3" fontId="37" fillId="5" borderId="29" xfId="2" applyNumberFormat="1" applyFont="1" applyFill="1" applyBorder="1" applyAlignment="1" applyProtection="1">
      <alignment horizontal="right" vertical="top"/>
      <protection locked="0"/>
    </xf>
    <xf numFmtId="0" fontId="21" fillId="0" borderId="62" xfId="2" applyFont="1" applyFill="1" applyBorder="1" applyAlignment="1">
      <alignment vertical="top" wrapText="1"/>
    </xf>
    <xf numFmtId="3" fontId="21" fillId="3" borderId="119" xfId="2" applyNumberFormat="1" applyFont="1" applyFill="1" applyBorder="1" applyAlignment="1" applyProtection="1">
      <alignment horizontal="right" vertical="top"/>
      <protection locked="0"/>
    </xf>
    <xf numFmtId="3" fontId="21" fillId="3" borderId="120" xfId="2" applyNumberFormat="1" applyFont="1" applyFill="1" applyBorder="1" applyAlignment="1" applyProtection="1">
      <alignment horizontal="right" vertical="top"/>
      <protection locked="0"/>
    </xf>
    <xf numFmtId="3" fontId="37" fillId="5" borderId="62" xfId="2" applyNumberFormat="1" applyFont="1" applyFill="1" applyBorder="1" applyAlignment="1" applyProtection="1">
      <alignment horizontal="right" vertical="top"/>
      <protection locked="0"/>
    </xf>
    <xf numFmtId="0" fontId="37" fillId="3" borderId="16" xfId="2" applyFont="1" applyFill="1" applyBorder="1" applyAlignment="1">
      <alignment vertical="top"/>
    </xf>
    <xf numFmtId="3" fontId="37" fillId="5" borderId="16" xfId="2" applyNumberFormat="1" applyFont="1" applyFill="1" applyBorder="1" applyAlignment="1" applyProtection="1">
      <alignment horizontal="right" vertical="top"/>
      <protection locked="0"/>
    </xf>
    <xf numFmtId="0" fontId="21" fillId="17" borderId="0" xfId="2" applyFill="1" applyAlignment="1">
      <alignment vertical="top"/>
    </xf>
    <xf numFmtId="0" fontId="0" fillId="2" borderId="0" xfId="0" applyFill="1" applyBorder="1" applyAlignment="1">
      <alignment vertical="top"/>
    </xf>
    <xf numFmtId="0" fontId="21" fillId="0" borderId="2" xfId="2" applyFont="1" applyFill="1" applyBorder="1" applyAlignment="1">
      <alignment vertical="top"/>
    </xf>
    <xf numFmtId="0" fontId="21" fillId="4" borderId="0" xfId="2" applyFill="1" applyAlignment="1">
      <alignment vertical="top"/>
    </xf>
    <xf numFmtId="3" fontId="37" fillId="7" borderId="1" xfId="2" applyNumberFormat="1" applyFont="1" applyFill="1" applyBorder="1" applyAlignment="1">
      <alignment horizontal="center" vertical="top"/>
    </xf>
    <xf numFmtId="0" fontId="21" fillId="0" borderId="29" xfId="2" applyFont="1" applyFill="1" applyBorder="1" applyAlignment="1">
      <alignment vertical="top"/>
    </xf>
    <xf numFmtId="3" fontId="37" fillId="5" borderId="19" xfId="2" applyNumberFormat="1" applyFont="1" applyFill="1" applyBorder="1" applyAlignment="1" applyProtection="1">
      <alignment horizontal="right" vertical="top"/>
      <protection locked="0"/>
    </xf>
    <xf numFmtId="3" fontId="37" fillId="5" borderId="20" xfId="2" applyNumberFormat="1" applyFont="1" applyFill="1" applyBorder="1" applyAlignment="1" applyProtection="1">
      <alignment horizontal="right" vertical="top"/>
      <protection locked="0"/>
    </xf>
    <xf numFmtId="0" fontId="38" fillId="7" borderId="18" xfId="2" applyFont="1" applyFill="1" applyBorder="1" applyAlignment="1">
      <alignment horizontal="left" vertical="top" indent="2"/>
    </xf>
    <xf numFmtId="0" fontId="21" fillId="3" borderId="37" xfId="2" applyFont="1" applyFill="1" applyBorder="1" applyAlignment="1">
      <alignment vertical="top"/>
    </xf>
    <xf numFmtId="3" fontId="21" fillId="3" borderId="39" xfId="2" applyNumberFormat="1" applyFont="1" applyFill="1" applyBorder="1" applyAlignment="1" applyProtection="1">
      <alignment horizontal="right" vertical="top"/>
      <protection locked="0"/>
    </xf>
    <xf numFmtId="0" fontId="37" fillId="0" borderId="35" xfId="2" applyFont="1" applyFill="1" applyBorder="1" applyAlignment="1">
      <alignment vertical="top"/>
    </xf>
    <xf numFmtId="3" fontId="37" fillId="5" borderId="40" xfId="2" applyNumberFormat="1" applyFont="1" applyFill="1" applyBorder="1" applyAlignment="1" applyProtection="1">
      <alignment horizontal="right" vertical="top"/>
      <protection locked="0"/>
    </xf>
    <xf numFmtId="0" fontId="21" fillId="3" borderId="25" xfId="2" applyFont="1" applyFill="1" applyBorder="1" applyAlignment="1">
      <alignment horizontal="left" vertical="top" indent="2"/>
    </xf>
    <xf numFmtId="3" fontId="21" fillId="0" borderId="47" xfId="2" applyNumberFormat="1" applyFill="1" applyBorder="1" applyAlignment="1">
      <alignment horizontal="center" vertical="top"/>
    </xf>
    <xf numFmtId="3" fontId="21" fillId="0" borderId="48" xfId="2" applyNumberFormat="1" applyFill="1" applyBorder="1" applyAlignment="1">
      <alignment horizontal="center" vertical="top"/>
    </xf>
    <xf numFmtId="3" fontId="21" fillId="0" borderId="49" xfId="2" applyNumberFormat="1" applyFill="1" applyBorder="1" applyAlignment="1">
      <alignment horizontal="center" vertical="top"/>
    </xf>
    <xf numFmtId="3" fontId="36" fillId="3" borderId="19" xfId="2" applyNumberFormat="1" applyFont="1" applyFill="1" applyBorder="1" applyAlignment="1" applyProtection="1">
      <alignment horizontal="right" vertical="top"/>
      <protection locked="0"/>
    </xf>
    <xf numFmtId="3" fontId="36" fillId="3" borderId="20" xfId="2" applyNumberFormat="1" applyFont="1" applyFill="1" applyBorder="1" applyAlignment="1" applyProtection="1">
      <alignment horizontal="right" vertical="top"/>
      <protection locked="0"/>
    </xf>
    <xf numFmtId="0" fontId="36" fillId="2" borderId="0" xfId="2" applyFont="1" applyFill="1" applyAlignment="1">
      <alignment vertical="top"/>
    </xf>
    <xf numFmtId="0" fontId="36" fillId="7" borderId="3" xfId="2" applyFont="1" applyFill="1" applyBorder="1" applyAlignment="1">
      <alignment horizontal="left" vertical="top"/>
    </xf>
    <xf numFmtId="0" fontId="36" fillId="6" borderId="0" xfId="2" applyFont="1" applyFill="1" applyAlignment="1">
      <alignment vertical="top"/>
    </xf>
    <xf numFmtId="0" fontId="21" fillId="3" borderId="37" xfId="2" applyFont="1" applyFill="1" applyBorder="1" applyAlignment="1">
      <alignment horizontal="left" vertical="top" indent="1"/>
    </xf>
    <xf numFmtId="0" fontId="21" fillId="3" borderId="14" xfId="2" applyFont="1" applyFill="1" applyBorder="1" applyAlignment="1">
      <alignment vertical="top" wrapText="1"/>
    </xf>
    <xf numFmtId="0" fontId="21" fillId="0" borderId="14" xfId="2" applyFont="1" applyFill="1" applyBorder="1" applyAlignment="1">
      <alignment vertical="top"/>
    </xf>
    <xf numFmtId="0" fontId="30" fillId="2" borderId="0" xfId="2" applyFont="1" applyFill="1" applyAlignment="1">
      <alignment vertical="top"/>
    </xf>
    <xf numFmtId="0" fontId="21" fillId="3" borderId="14" xfId="2" applyFont="1" applyFill="1" applyBorder="1" applyAlignment="1">
      <alignment vertical="top"/>
    </xf>
    <xf numFmtId="0" fontId="21" fillId="7" borderId="15" xfId="2" applyFont="1" applyFill="1" applyBorder="1" applyAlignment="1">
      <alignment vertical="top"/>
    </xf>
    <xf numFmtId="0" fontId="37" fillId="3" borderId="41" xfId="2" applyFont="1" applyFill="1" applyBorder="1" applyAlignment="1">
      <alignment vertical="top"/>
    </xf>
    <xf numFmtId="0" fontId="24" fillId="3" borderId="30" xfId="2" applyFont="1" applyFill="1" applyBorder="1" applyAlignment="1">
      <alignment vertical="top"/>
    </xf>
    <xf numFmtId="3" fontId="38" fillId="3" borderId="26" xfId="2" applyNumberFormat="1" applyFont="1" applyFill="1" applyBorder="1" applyAlignment="1" applyProtection="1">
      <alignment horizontal="right" vertical="top"/>
      <protection locked="0"/>
    </xf>
    <xf numFmtId="3" fontId="38" fillId="3" borderId="27" xfId="2" applyNumberFormat="1" applyFont="1" applyFill="1" applyBorder="1" applyAlignment="1" applyProtection="1">
      <alignment horizontal="right" vertical="top"/>
      <protection locked="0"/>
    </xf>
    <xf numFmtId="3" fontId="36" fillId="5" borderId="28" xfId="2" applyNumberFormat="1" applyFont="1" applyFill="1" applyBorder="1" applyAlignment="1" applyProtection="1">
      <alignment horizontal="right" vertical="top"/>
      <protection locked="0"/>
    </xf>
    <xf numFmtId="0" fontId="42" fillId="0" borderId="10" xfId="2" applyFont="1" applyFill="1" applyBorder="1" applyAlignment="1">
      <alignment horizontal="center" vertical="top"/>
    </xf>
    <xf numFmtId="0" fontId="21" fillId="0" borderId="37" xfId="2" applyFont="1" applyFill="1" applyBorder="1" applyAlignment="1">
      <alignment vertical="top"/>
    </xf>
    <xf numFmtId="3" fontId="37" fillId="5" borderId="45" xfId="2" applyNumberFormat="1" applyFont="1" applyFill="1" applyBorder="1" applyAlignment="1" applyProtection="1">
      <alignment horizontal="right" vertical="top"/>
      <protection locked="0"/>
    </xf>
    <xf numFmtId="0" fontId="24" fillId="7" borderId="30" xfId="2" applyFont="1" applyFill="1" applyBorder="1" applyAlignment="1">
      <alignment horizontal="left" vertical="top" indent="2"/>
    </xf>
    <xf numFmtId="0" fontId="39" fillId="7" borderId="0" xfId="2" applyFont="1" applyFill="1" applyAlignment="1">
      <alignment horizontal="left" vertical="top" wrapText="1"/>
    </xf>
    <xf numFmtId="3" fontId="39" fillId="7" borderId="0" xfId="2" applyNumberFormat="1" applyFont="1" applyFill="1" applyAlignment="1">
      <alignment horizontal="left" vertical="top" wrapText="1"/>
    </xf>
    <xf numFmtId="0" fontId="42" fillId="3" borderId="2" xfId="2" applyFont="1" applyFill="1" applyBorder="1" applyAlignment="1">
      <alignment horizontal="center" vertical="top"/>
    </xf>
    <xf numFmtId="0" fontId="21" fillId="0" borderId="15" xfId="2" applyFont="1" applyFill="1" applyBorder="1" applyAlignment="1">
      <alignment vertical="top"/>
    </xf>
    <xf numFmtId="0" fontId="37" fillId="3" borderId="30" xfId="2" applyFont="1" applyFill="1" applyBorder="1" applyAlignment="1">
      <alignment vertical="top"/>
    </xf>
    <xf numFmtId="3" fontId="36" fillId="5" borderId="36" xfId="2" applyNumberFormat="1" applyFont="1" applyFill="1" applyBorder="1" applyAlignment="1" applyProtection="1">
      <alignment horizontal="right" vertical="top"/>
      <protection locked="0"/>
    </xf>
    <xf numFmtId="3" fontId="38" fillId="7" borderId="26" xfId="2" applyNumberFormat="1" applyFont="1" applyFill="1" applyBorder="1" applyAlignment="1" applyProtection="1">
      <alignment horizontal="right" vertical="top"/>
      <protection locked="0"/>
    </xf>
    <xf numFmtId="3" fontId="38" fillId="7" borderId="27" xfId="2" applyNumberFormat="1" applyFont="1" applyFill="1" applyBorder="1" applyAlignment="1" applyProtection="1">
      <alignment horizontal="right" vertical="top"/>
      <protection locked="0"/>
    </xf>
    <xf numFmtId="0" fontId="21" fillId="2" borderId="0" xfId="2" applyFill="1"/>
    <xf numFmtId="0" fontId="21" fillId="2" borderId="0" xfId="2" applyFont="1" applyFill="1"/>
    <xf numFmtId="0" fontId="77" fillId="2" borderId="0" xfId="2" applyFont="1" applyFill="1"/>
    <xf numFmtId="3" fontId="37" fillId="5" borderId="51" xfId="2" applyNumberFormat="1" applyFont="1" applyFill="1" applyBorder="1" applyAlignment="1" applyProtection="1">
      <alignment horizontal="right" vertical="top"/>
      <protection locked="0"/>
    </xf>
    <xf numFmtId="3" fontId="21" fillId="7" borderId="0" xfId="2" applyNumberFormat="1" applyFill="1" applyAlignment="1">
      <alignment horizontal="center" vertical="top"/>
    </xf>
    <xf numFmtId="0" fontId="21" fillId="7" borderId="0" xfId="2" applyFill="1" applyBorder="1" applyAlignment="1">
      <alignment vertical="top"/>
    </xf>
    <xf numFmtId="3" fontId="32" fillId="7" borderId="0" xfId="2" applyNumberFormat="1" applyFont="1" applyFill="1" applyBorder="1" applyAlignment="1" applyProtection="1">
      <alignment horizontal="center" vertical="top"/>
      <protection locked="0"/>
    </xf>
    <xf numFmtId="3" fontId="36" fillId="3" borderId="1" xfId="2" applyNumberFormat="1" applyFont="1" applyFill="1" applyBorder="1" applyAlignment="1">
      <alignment horizontal="center" vertical="top" wrapText="1"/>
    </xf>
    <xf numFmtId="3" fontId="21" fillId="4" borderId="29" xfId="2" applyNumberFormat="1" applyFont="1" applyFill="1" applyBorder="1" applyAlignment="1" applyProtection="1">
      <alignment horizontal="right" vertical="top"/>
      <protection locked="0"/>
    </xf>
    <xf numFmtId="3" fontId="21" fillId="4" borderId="30" xfId="2" applyNumberFormat="1" applyFont="1" applyFill="1" applyBorder="1" applyAlignment="1" applyProtection="1">
      <alignment horizontal="right" vertical="top"/>
    </xf>
    <xf numFmtId="0" fontId="37" fillId="7" borderId="0" xfId="2" applyFont="1" applyFill="1" applyBorder="1" applyAlignment="1">
      <alignment vertical="top"/>
    </xf>
    <xf numFmtId="3" fontId="21" fillId="7" borderId="0" xfId="2" applyNumberFormat="1" applyFont="1" applyFill="1" applyBorder="1" applyAlignment="1">
      <alignment horizontal="center" vertical="top"/>
    </xf>
    <xf numFmtId="3" fontId="21" fillId="0" borderId="22" xfId="2" applyNumberFormat="1" applyFont="1" applyFill="1" applyBorder="1" applyAlignment="1" applyProtection="1">
      <alignment horizontal="right" vertical="top"/>
      <protection locked="0"/>
    </xf>
    <xf numFmtId="3" fontId="37" fillId="0" borderId="50" xfId="2" applyNumberFormat="1" applyFont="1" applyFill="1" applyBorder="1" applyAlignment="1" applyProtection="1">
      <alignment horizontal="right" vertical="top"/>
      <protection locked="0"/>
    </xf>
    <xf numFmtId="3" fontId="37" fillId="3" borderId="66" xfId="2" applyNumberFormat="1" applyFont="1" applyFill="1" applyBorder="1" applyAlignment="1" applyProtection="1">
      <alignment horizontal="right" vertical="top"/>
      <protection locked="0"/>
    </xf>
    <xf numFmtId="0" fontId="22" fillId="7" borderId="0" xfId="2" applyFont="1" applyFill="1" applyBorder="1" applyAlignment="1">
      <alignment vertical="top"/>
    </xf>
    <xf numFmtId="3" fontId="22" fillId="7" borderId="0" xfId="2" applyNumberFormat="1" applyFont="1" applyFill="1" applyAlignment="1">
      <alignment horizontal="center" vertical="top"/>
    </xf>
    <xf numFmtId="0" fontId="21" fillId="3" borderId="17" xfId="2" applyFont="1" applyFill="1" applyBorder="1" applyAlignment="1">
      <alignment horizontal="left" vertical="top"/>
    </xf>
    <xf numFmtId="0" fontId="34" fillId="3" borderId="17" xfId="2" applyFont="1" applyFill="1" applyBorder="1" applyAlignment="1">
      <alignment horizontal="left" vertical="top" wrapText="1"/>
    </xf>
    <xf numFmtId="0" fontId="21" fillId="7" borderId="67" xfId="2" applyFill="1" applyBorder="1" applyAlignment="1">
      <alignment vertical="top"/>
    </xf>
    <xf numFmtId="0" fontId="37" fillId="3" borderId="2" xfId="2" applyFont="1" applyFill="1" applyBorder="1" applyAlignment="1">
      <alignment horizontal="left" vertical="top"/>
    </xf>
    <xf numFmtId="3" fontId="37" fillId="0" borderId="12" xfId="2" applyNumberFormat="1" applyFont="1" applyFill="1" applyBorder="1" applyAlignment="1" applyProtection="1">
      <alignment horizontal="right" vertical="top"/>
      <protection locked="0"/>
    </xf>
    <xf numFmtId="3" fontId="37" fillId="5" borderId="66" xfId="2" applyNumberFormat="1" applyFont="1" applyFill="1" applyBorder="1" applyAlignment="1" applyProtection="1">
      <alignment horizontal="right" vertical="top"/>
      <protection locked="0"/>
    </xf>
    <xf numFmtId="0" fontId="21" fillId="7" borderId="0" xfId="2" applyFont="1" applyFill="1" applyBorder="1" applyAlignment="1">
      <alignment horizontal="center" vertical="top" wrapText="1"/>
    </xf>
    <xf numFmtId="0" fontId="37" fillId="3" borderId="4" xfId="2" applyFont="1" applyFill="1" applyBorder="1" applyAlignment="1">
      <alignment horizontal="left" vertical="top"/>
    </xf>
    <xf numFmtId="3" fontId="37" fillId="3" borderId="3" xfId="2" applyNumberFormat="1" applyFont="1" applyFill="1" applyBorder="1" applyAlignment="1">
      <alignment horizontal="center" vertical="top" wrapText="1"/>
    </xf>
    <xf numFmtId="3" fontId="37" fillId="0" borderId="5" xfId="2" applyNumberFormat="1" applyFont="1" applyFill="1" applyBorder="1" applyAlignment="1" applyProtection="1">
      <alignment horizontal="right" vertical="top"/>
      <protection locked="0"/>
    </xf>
    <xf numFmtId="3" fontId="37" fillId="0" borderId="66" xfId="2" applyNumberFormat="1" applyFont="1" applyFill="1" applyBorder="1" applyAlignment="1" applyProtection="1">
      <alignment horizontal="right" vertical="top"/>
      <protection locked="0"/>
    </xf>
    <xf numFmtId="3" fontId="37" fillId="5" borderId="54" xfId="2" applyNumberFormat="1" applyFont="1" applyFill="1" applyBorder="1" applyAlignment="1" applyProtection="1">
      <alignment horizontal="right" vertical="top"/>
      <protection locked="0"/>
    </xf>
    <xf numFmtId="0" fontId="37" fillId="7" borderId="6" xfId="2" applyFont="1" applyFill="1" applyBorder="1" applyAlignment="1">
      <alignment vertical="top" wrapText="1"/>
    </xf>
    <xf numFmtId="0" fontId="21" fillId="0" borderId="0" xfId="2" applyFill="1"/>
    <xf numFmtId="3" fontId="37" fillId="5" borderId="14" xfId="2" applyNumberFormat="1" applyFont="1" applyFill="1" applyBorder="1" applyAlignment="1" applyProtection="1">
      <alignment horizontal="right"/>
      <protection locked="0"/>
    </xf>
    <xf numFmtId="0" fontId="21" fillId="3" borderId="18" xfId="2" applyFont="1" applyFill="1" applyBorder="1" applyAlignment="1">
      <alignment horizontal="left" vertical="top" indent="1"/>
    </xf>
    <xf numFmtId="0" fontId="21" fillId="0" borderId="18" xfId="2" applyFont="1" applyFill="1" applyBorder="1" applyAlignment="1">
      <alignment horizontal="left" vertical="top" wrapText="1" indent="1"/>
    </xf>
    <xf numFmtId="3" fontId="45" fillId="3" borderId="0" xfId="2" applyNumberFormat="1" applyFont="1" applyFill="1" applyAlignment="1">
      <alignment horizontal="left" vertical="top"/>
    </xf>
    <xf numFmtId="0" fontId="21" fillId="2" borderId="0" xfId="2" applyFill="1" applyAlignment="1">
      <alignment horizontal="center" vertical="center"/>
    </xf>
    <xf numFmtId="0" fontId="37" fillId="0" borderId="17" xfId="2" applyFont="1" applyFill="1" applyBorder="1" applyAlignment="1">
      <alignment vertical="top"/>
    </xf>
    <xf numFmtId="3" fontId="21" fillId="0" borderId="37" xfId="2" applyNumberFormat="1" applyFont="1" applyFill="1" applyBorder="1" applyAlignment="1" applyProtection="1">
      <alignment vertical="top"/>
      <protection locked="0"/>
    </xf>
    <xf numFmtId="3" fontId="21" fillId="0" borderId="14" xfId="2" applyNumberFormat="1" applyFont="1" applyFill="1" applyBorder="1" applyAlignment="1" applyProtection="1">
      <alignment vertical="top"/>
      <protection locked="0"/>
    </xf>
    <xf numFmtId="0" fontId="34" fillId="0" borderId="10" xfId="2" applyFont="1" applyFill="1" applyBorder="1" applyAlignment="1">
      <alignment horizontal="left" vertical="top" wrapText="1"/>
    </xf>
    <xf numFmtId="3" fontId="21" fillId="0" borderId="6" xfId="2" applyNumberFormat="1" applyFont="1" applyFill="1" applyBorder="1" applyAlignment="1" applyProtection="1">
      <alignment vertical="top"/>
      <protection locked="0"/>
    </xf>
    <xf numFmtId="3" fontId="21" fillId="0" borderId="0" xfId="2" applyNumberFormat="1" applyFill="1" applyAlignment="1">
      <alignment horizontal="center" vertical="top"/>
    </xf>
    <xf numFmtId="0" fontId="21" fillId="0" borderId="0" xfId="2" applyFont="1" applyAlignment="1">
      <alignment vertical="top"/>
    </xf>
    <xf numFmtId="0" fontId="45" fillId="3" borderId="0" xfId="2" applyFont="1" applyFill="1" applyAlignment="1">
      <alignment vertical="top"/>
    </xf>
    <xf numFmtId="3" fontId="46" fillId="3" borderId="0" xfId="2" applyNumberFormat="1" applyFont="1" applyFill="1" applyAlignment="1">
      <alignment horizontal="left" vertical="top"/>
    </xf>
    <xf numFmtId="0" fontId="34" fillId="0" borderId="2" xfId="2" applyFont="1" applyFill="1" applyBorder="1" applyAlignment="1">
      <alignment horizontal="left" vertical="top" wrapText="1"/>
    </xf>
    <xf numFmtId="3" fontId="37" fillId="0" borderId="13" xfId="2" applyNumberFormat="1" applyFont="1" applyFill="1" applyBorder="1" applyAlignment="1" applyProtection="1">
      <alignment horizontal="right" vertical="top"/>
      <protection locked="0"/>
    </xf>
    <xf numFmtId="0" fontId="21" fillId="3" borderId="57" xfId="2" applyFont="1" applyFill="1" applyBorder="1" applyAlignment="1">
      <alignment vertical="top"/>
    </xf>
    <xf numFmtId="0" fontId="37" fillId="3" borderId="7" xfId="2" applyFont="1" applyFill="1" applyBorder="1" applyAlignment="1">
      <alignment vertical="top"/>
    </xf>
    <xf numFmtId="0" fontId="36" fillId="0" borderId="10" xfId="2" applyFont="1" applyFill="1" applyBorder="1" applyAlignment="1">
      <alignment horizontal="left" vertical="top" wrapText="1"/>
    </xf>
    <xf numFmtId="0" fontId="21" fillId="2" borderId="0" xfId="0" applyFont="1" applyFill="1" applyAlignment="1">
      <alignment vertical="top" wrapText="1"/>
    </xf>
    <xf numFmtId="0" fontId="21" fillId="3" borderId="13" xfId="0" applyFont="1" applyFill="1" applyBorder="1" applyAlignment="1">
      <alignment horizontal="left" vertical="top" wrapText="1"/>
    </xf>
    <xf numFmtId="0" fontId="21" fillId="6" borderId="0" xfId="2" applyFill="1" applyAlignment="1">
      <alignment horizontal="center" vertical="top"/>
    </xf>
    <xf numFmtId="0" fontId="77" fillId="19" borderId="0" xfId="2" applyFont="1" applyFill="1" applyAlignment="1">
      <alignment vertical="top"/>
    </xf>
    <xf numFmtId="0" fontId="21" fillId="18" borderId="0" xfId="2" applyFill="1" applyAlignment="1">
      <alignment vertical="top"/>
    </xf>
    <xf numFmtId="0" fontId="21" fillId="20" borderId="0" xfId="2" applyFill="1" applyAlignment="1">
      <alignment vertical="top"/>
    </xf>
    <xf numFmtId="0" fontId="21" fillId="2" borderId="0" xfId="2" applyFill="1" applyAlignment="1">
      <alignment horizontal="center" vertical="top"/>
    </xf>
    <xf numFmtId="0" fontId="64" fillId="2" borderId="0" xfId="2" applyFont="1" applyFill="1" applyAlignment="1">
      <alignment horizontal="center" vertical="top"/>
    </xf>
    <xf numFmtId="0" fontId="21" fillId="17" borderId="0" xfId="2" applyFont="1" applyFill="1" applyAlignment="1">
      <alignment vertical="top"/>
    </xf>
    <xf numFmtId="3" fontId="37" fillId="11" borderId="21" xfId="2" applyNumberFormat="1" applyFont="1" applyFill="1" applyBorder="1" applyAlignment="1" applyProtection="1">
      <alignment horizontal="right" vertical="top"/>
      <protection locked="0"/>
    </xf>
    <xf numFmtId="3" fontId="21" fillId="0" borderId="77" xfId="2" applyNumberFormat="1" applyFont="1" applyFill="1" applyBorder="1" applyAlignment="1" applyProtection="1">
      <alignment horizontal="right" vertical="top"/>
      <protection locked="0"/>
    </xf>
    <xf numFmtId="3" fontId="37" fillId="11" borderId="19" xfId="2" applyNumberFormat="1" applyFont="1" applyFill="1" applyBorder="1" applyAlignment="1" applyProtection="1">
      <alignment horizontal="right" vertical="top"/>
      <protection locked="0"/>
    </xf>
    <xf numFmtId="3" fontId="37" fillId="11" borderId="20" xfId="2" applyNumberFormat="1" applyFont="1" applyFill="1" applyBorder="1" applyAlignment="1" applyProtection="1">
      <alignment horizontal="right" vertical="top"/>
      <protection locked="0"/>
    </xf>
    <xf numFmtId="3" fontId="37" fillId="11" borderId="34" xfId="2" applyNumberFormat="1" applyFont="1" applyFill="1" applyBorder="1" applyAlignment="1" applyProtection="1">
      <alignment horizontal="right" vertical="top"/>
      <protection locked="0"/>
    </xf>
    <xf numFmtId="3" fontId="37" fillId="11" borderId="73" xfId="2" applyNumberFormat="1" applyFont="1" applyFill="1" applyBorder="1" applyAlignment="1" applyProtection="1">
      <alignment horizontal="right" vertical="top"/>
      <protection locked="0"/>
    </xf>
    <xf numFmtId="3" fontId="66" fillId="0" borderId="22" xfId="2" applyNumberFormat="1" applyFont="1" applyFill="1" applyBorder="1" applyAlignment="1" applyProtection="1">
      <alignment horizontal="right" vertical="top"/>
      <protection locked="0"/>
    </xf>
    <xf numFmtId="3" fontId="66" fillId="0" borderId="33" xfId="2" applyNumberFormat="1" applyFont="1" applyFill="1" applyBorder="1" applyAlignment="1" applyProtection="1">
      <alignment horizontal="right" vertical="top"/>
      <protection locked="0"/>
    </xf>
    <xf numFmtId="3" fontId="67" fillId="11" borderId="24" xfId="2" applyNumberFormat="1" applyFont="1" applyFill="1" applyBorder="1" applyAlignment="1" applyProtection="1">
      <alignment horizontal="right" vertical="top"/>
      <protection locked="0"/>
    </xf>
    <xf numFmtId="3" fontId="66" fillId="0" borderId="32" xfId="2" applyNumberFormat="1" applyFont="1" applyFill="1" applyBorder="1" applyAlignment="1" applyProtection="1">
      <alignment horizontal="right" vertical="top"/>
      <protection locked="0"/>
    </xf>
    <xf numFmtId="3" fontId="66" fillId="0" borderId="23" xfId="2" applyNumberFormat="1" applyFont="1" applyFill="1" applyBorder="1" applyAlignment="1" applyProtection="1">
      <alignment horizontal="right" vertical="top"/>
      <protection locked="0"/>
    </xf>
    <xf numFmtId="3" fontId="67" fillId="11" borderId="34" xfId="2" applyNumberFormat="1" applyFont="1" applyFill="1" applyBorder="1" applyAlignment="1" applyProtection="1">
      <alignment horizontal="right" vertical="top"/>
      <protection locked="0"/>
    </xf>
    <xf numFmtId="3" fontId="67" fillId="11" borderId="28" xfId="2" applyNumberFormat="1" applyFont="1" applyFill="1" applyBorder="1" applyAlignment="1" applyProtection="1">
      <alignment horizontal="right" vertical="top"/>
      <protection locked="0"/>
    </xf>
    <xf numFmtId="3" fontId="37" fillId="11" borderId="40" xfId="2" applyNumberFormat="1" applyFont="1" applyFill="1" applyBorder="1" applyAlignment="1" applyProtection="1">
      <alignment horizontal="right" vertical="top"/>
      <protection locked="0"/>
    </xf>
    <xf numFmtId="3" fontId="21" fillId="7" borderId="0" xfId="2" applyNumberFormat="1" applyFont="1" applyFill="1" applyAlignment="1">
      <alignment horizontal="center" vertical="top"/>
    </xf>
    <xf numFmtId="0" fontId="21" fillId="9" borderId="0" xfId="2" applyFont="1" applyFill="1" applyAlignment="1">
      <alignment vertical="top"/>
    </xf>
    <xf numFmtId="0" fontId="21" fillId="7" borderId="0" xfId="2" applyFont="1" applyFill="1" applyAlignment="1">
      <alignment vertical="top"/>
    </xf>
    <xf numFmtId="0" fontId="21" fillId="7" borderId="14" xfId="0" applyFont="1" applyFill="1" applyBorder="1" applyAlignment="1">
      <alignment horizontal="left" vertical="top"/>
    </xf>
    <xf numFmtId="0" fontId="21" fillId="2" borderId="0" xfId="2" applyFill="1" applyAlignment="1">
      <alignment horizontal="left" vertical="top"/>
    </xf>
    <xf numFmtId="4" fontId="63" fillId="0" borderId="0" xfId="17" applyNumberFormat="1" applyFont="1"/>
    <xf numFmtId="0" fontId="83" fillId="0" borderId="6" xfId="17" applyFont="1" applyBorder="1" applyAlignment="1">
      <alignment vertical="center" wrapText="1"/>
    </xf>
    <xf numFmtId="0" fontId="84" fillId="0" borderId="124" xfId="17" applyFont="1" applyBorder="1" applyAlignment="1">
      <alignment horizontal="right" vertical="center"/>
    </xf>
    <xf numFmtId="0" fontId="80" fillId="0" borderId="6" xfId="17" applyFont="1" applyBorder="1" applyAlignment="1">
      <alignment vertical="center" wrapText="1"/>
    </xf>
    <xf numFmtId="4" fontId="63" fillId="0" borderId="124" xfId="17" applyNumberFormat="1" applyFont="1" applyBorder="1"/>
    <xf numFmtId="0" fontId="85" fillId="21" borderId="0" xfId="17" applyFont="1" applyFill="1" applyAlignment="1">
      <alignment vertical="center"/>
    </xf>
    <xf numFmtId="0" fontId="80" fillId="0" borderId="29" xfId="17" applyFont="1" applyBorder="1" applyAlignment="1">
      <alignment vertical="center" wrapText="1"/>
    </xf>
    <xf numFmtId="4" fontId="63" fillId="0" borderId="125" xfId="17" applyNumberFormat="1" applyFont="1" applyBorder="1"/>
    <xf numFmtId="0" fontId="21" fillId="7" borderId="0" xfId="0" applyFont="1" applyFill="1" applyBorder="1" applyAlignment="1">
      <alignment wrapText="1"/>
    </xf>
    <xf numFmtId="0" fontId="47" fillId="0" borderId="113" xfId="2" applyFont="1" applyBorder="1" applyAlignment="1">
      <alignment vertical="top" wrapText="1"/>
    </xf>
    <xf numFmtId="0" fontId="38" fillId="0" borderId="57" xfId="2" applyFont="1" applyFill="1" applyBorder="1" applyAlignment="1">
      <alignment horizontal="left" vertical="top" wrapText="1" indent="2"/>
    </xf>
    <xf numFmtId="0" fontId="38" fillId="0" borderId="57" xfId="2" applyFont="1" applyFill="1" applyBorder="1" applyAlignment="1">
      <alignment horizontal="left" vertical="top" indent="4"/>
    </xf>
    <xf numFmtId="0" fontId="64" fillId="0" borderId="0" xfId="2" applyFont="1" applyFill="1"/>
    <xf numFmtId="3" fontId="37" fillId="5" borderId="30" xfId="2" applyNumberFormat="1" applyFont="1" applyFill="1" applyBorder="1" applyAlignment="1" applyProtection="1">
      <alignment horizontal="right" vertical="top"/>
      <protection locked="0"/>
    </xf>
    <xf numFmtId="0" fontId="21" fillId="0" borderId="4" xfId="2" applyFont="1" applyFill="1" applyBorder="1" applyAlignment="1">
      <alignment horizontal="left" vertical="top" wrapText="1" indent="1"/>
    </xf>
    <xf numFmtId="0" fontId="37" fillId="0" borderId="0" xfId="0" applyFont="1" applyFill="1" applyBorder="1" applyAlignment="1">
      <alignment vertical="top"/>
    </xf>
    <xf numFmtId="0" fontId="88" fillId="21" borderId="121" xfId="17" applyFont="1" applyFill="1" applyBorder="1" applyAlignment="1">
      <alignment horizontal="center" vertical="center"/>
    </xf>
    <xf numFmtId="0" fontId="89" fillId="0" borderId="18" xfId="17" applyFont="1" applyBorder="1" applyAlignment="1">
      <alignment horizontal="center" vertical="center" wrapText="1"/>
    </xf>
    <xf numFmtId="0" fontId="89" fillId="0" borderId="122" xfId="17" applyFont="1" applyBorder="1" applyAlignment="1">
      <alignment horizontal="center" vertical="center" wrapText="1"/>
    </xf>
    <xf numFmtId="0" fontId="88" fillId="21" borderId="2" xfId="17" applyFont="1" applyFill="1" applyBorder="1" applyAlignment="1">
      <alignment vertical="center"/>
    </xf>
    <xf numFmtId="0" fontId="21" fillId="2" borderId="0" xfId="0" applyFont="1" applyFill="1" applyBorder="1" applyAlignment="1">
      <alignment horizontal="left" vertical="top" wrapText="1"/>
    </xf>
    <xf numFmtId="4" fontId="63" fillId="0" borderId="0" xfId="20" applyNumberFormat="1" applyFont="1"/>
    <xf numFmtId="3" fontId="37" fillId="3" borderId="1" xfId="2" applyNumberFormat="1" applyFont="1" applyFill="1" applyBorder="1" applyAlignment="1">
      <alignment horizontal="center" vertical="top" wrapText="1"/>
    </xf>
    <xf numFmtId="3" fontId="37" fillId="3" borderId="3" xfId="2" applyNumberFormat="1" applyFont="1" applyFill="1" applyBorder="1" applyAlignment="1">
      <alignment horizontal="center" vertical="top"/>
    </xf>
    <xf numFmtId="3" fontId="37" fillId="7" borderId="1" xfId="2" applyNumberFormat="1" applyFont="1" applyFill="1" applyBorder="1" applyAlignment="1" applyProtection="1">
      <alignment horizontal="right" vertical="top"/>
      <protection locked="0"/>
    </xf>
    <xf numFmtId="3" fontId="37" fillId="0" borderId="1" xfId="0" applyNumberFormat="1" applyFont="1" applyFill="1" applyBorder="1" applyAlignment="1">
      <alignment horizontal="center" vertical="top"/>
    </xf>
    <xf numFmtId="0" fontId="37" fillId="0" borderId="30" xfId="2" applyFont="1" applyFill="1" applyBorder="1" applyAlignment="1">
      <alignment vertical="top"/>
    </xf>
    <xf numFmtId="0" fontId="37" fillId="3" borderId="18" xfId="2" applyFont="1" applyFill="1" applyBorder="1" applyAlignment="1">
      <alignment vertical="top"/>
    </xf>
    <xf numFmtId="3" fontId="37" fillId="5" borderId="44" xfId="2" applyNumberFormat="1" applyFont="1" applyFill="1" applyBorder="1" applyAlignment="1" applyProtection="1">
      <alignment horizontal="right" vertical="top"/>
      <protection locked="0"/>
    </xf>
    <xf numFmtId="3" fontId="37" fillId="5" borderId="39" xfId="2" applyNumberFormat="1" applyFont="1" applyFill="1" applyBorder="1" applyAlignment="1" applyProtection="1">
      <alignment horizontal="right" vertical="top"/>
      <protection locked="0"/>
    </xf>
    <xf numFmtId="0" fontId="48" fillId="0" borderId="4" xfId="0" applyFont="1" applyFill="1" applyBorder="1" applyAlignment="1">
      <alignment horizontal="left" vertical="top" wrapText="1"/>
    </xf>
    <xf numFmtId="0" fontId="0" fillId="2" borderId="0" xfId="0" applyFill="1" applyBorder="1" applyAlignment="1">
      <alignment vertical="top"/>
    </xf>
    <xf numFmtId="0" fontId="37" fillId="0" borderId="17" xfId="0" applyFont="1" applyFill="1" applyBorder="1" applyAlignment="1">
      <alignment horizontal="left" vertical="top" wrapText="1"/>
    </xf>
    <xf numFmtId="0" fontId="0" fillId="2" borderId="0" xfId="0" applyFill="1" applyBorder="1" applyAlignment="1">
      <alignment vertical="top" wrapText="1"/>
    </xf>
    <xf numFmtId="0" fontId="21" fillId="19" borderId="0" xfId="0" applyFont="1" applyFill="1" applyBorder="1" applyAlignment="1">
      <alignment vertical="top"/>
    </xf>
    <xf numFmtId="0" fontId="51" fillId="7" borderId="0" xfId="0" applyFont="1" applyFill="1" applyBorder="1" applyAlignment="1">
      <alignment horizontal="left" vertical="top"/>
    </xf>
    <xf numFmtId="0" fontId="37" fillId="2" borderId="0" xfId="2" applyFont="1" applyFill="1" applyAlignment="1">
      <alignment horizontal="center" vertical="top"/>
    </xf>
    <xf numFmtId="0" fontId="37" fillId="2" borderId="0" xfId="2" applyFont="1" applyFill="1" applyAlignment="1">
      <alignment vertical="top"/>
    </xf>
    <xf numFmtId="0" fontId="21" fillId="0" borderId="103" xfId="2" applyFont="1" applyBorder="1" applyAlignment="1">
      <alignment vertical="top" wrapText="1"/>
    </xf>
    <xf numFmtId="0" fontId="11" fillId="0" borderId="0" xfId="17" applyBorder="1" applyAlignment="1"/>
    <xf numFmtId="0" fontId="21" fillId="2" borderId="0" xfId="2" applyFont="1" applyFill="1" applyAlignment="1">
      <alignment horizontal="left" vertical="top"/>
    </xf>
    <xf numFmtId="0" fontId="47" fillId="7" borderId="0" xfId="0" applyFont="1" applyFill="1" applyBorder="1" applyAlignment="1">
      <alignment horizontal="left" indent="3"/>
    </xf>
    <xf numFmtId="0" fontId="38" fillId="0" borderId="76" xfId="2" applyFont="1" applyFill="1" applyBorder="1" applyAlignment="1">
      <alignment horizontal="left" vertical="top" wrapText="1" indent="1"/>
    </xf>
    <xf numFmtId="0" fontId="38" fillId="0" borderId="68" xfId="2" applyFont="1" applyFill="1" applyBorder="1" applyAlignment="1">
      <alignment horizontal="left" vertical="top" indent="1"/>
    </xf>
    <xf numFmtId="0" fontId="37" fillId="0" borderId="6" xfId="2" applyFont="1" applyFill="1" applyBorder="1" applyAlignment="1">
      <alignment horizontal="left" vertical="top"/>
    </xf>
    <xf numFmtId="0" fontId="37" fillId="0" borderId="10" xfId="2" applyFont="1" applyFill="1" applyBorder="1" applyAlignment="1">
      <alignment horizontal="left" vertical="top"/>
    </xf>
    <xf numFmtId="0" fontId="38" fillId="7" borderId="10" xfId="2" applyFont="1" applyFill="1" applyBorder="1" applyAlignment="1">
      <alignment horizontal="left" vertical="top" indent="2"/>
    </xf>
    <xf numFmtId="0" fontId="21" fillId="0" borderId="6" xfId="17" applyFont="1" applyBorder="1" applyAlignment="1">
      <alignment vertical="center" wrapText="1"/>
    </xf>
    <xf numFmtId="0" fontId="21" fillId="7" borderId="73" xfId="2" applyFont="1" applyFill="1" applyBorder="1" applyAlignment="1">
      <alignment horizontal="left" vertical="top"/>
    </xf>
    <xf numFmtId="3" fontId="21" fillId="3" borderId="52" xfId="2" applyNumberFormat="1" applyFont="1" applyFill="1" applyBorder="1" applyAlignment="1" applyProtection="1">
      <alignment horizontal="right" vertical="top"/>
      <protection locked="0"/>
    </xf>
    <xf numFmtId="0" fontId="21" fillId="2" borderId="0" xfId="2" applyFill="1" applyAlignment="1">
      <alignment horizontal="left" vertical="top" indent="2"/>
    </xf>
    <xf numFmtId="0" fontId="36" fillId="2" borderId="0" xfId="2" applyFont="1" applyFill="1" applyAlignment="1">
      <alignment horizontal="center" vertical="top"/>
    </xf>
    <xf numFmtId="0" fontId="36" fillId="6" borderId="0" xfId="2" applyFont="1" applyFill="1" applyAlignment="1">
      <alignment horizontal="center" vertical="top"/>
    </xf>
    <xf numFmtId="0" fontId="21" fillId="18" borderId="0" xfId="2" applyFont="1" applyFill="1" applyAlignment="1">
      <alignment horizontal="left" vertical="top"/>
    </xf>
    <xf numFmtId="0" fontId="21" fillId="18" borderId="0" xfId="2" applyFont="1" applyFill="1" applyAlignment="1">
      <alignment horizontal="center" vertical="top"/>
    </xf>
    <xf numFmtId="0" fontId="37" fillId="0" borderId="0" xfId="0" applyFont="1" applyFill="1" applyBorder="1" applyAlignment="1">
      <alignment horizontal="right" vertical="top"/>
    </xf>
    <xf numFmtId="0" fontId="21" fillId="0" borderId="0" xfId="0" applyFont="1" applyFill="1" applyBorder="1" applyAlignment="1">
      <alignment vertical="top" wrapText="1"/>
    </xf>
    <xf numFmtId="0" fontId="32" fillId="0" borderId="10" xfId="2" applyFont="1" applyFill="1" applyBorder="1" applyAlignment="1">
      <alignment horizontal="center" vertical="top"/>
    </xf>
    <xf numFmtId="0" fontId="32" fillId="2" borderId="0" xfId="2" applyFont="1" applyFill="1" applyAlignment="1">
      <alignment horizontal="center" vertical="top"/>
    </xf>
    <xf numFmtId="0" fontId="21" fillId="0" borderId="0" xfId="2" applyFill="1" applyAlignment="1">
      <alignment horizontal="center" vertical="center"/>
    </xf>
    <xf numFmtId="0" fontId="22" fillId="6" borderId="0" xfId="2" applyFont="1" applyFill="1" applyBorder="1" applyAlignment="1">
      <alignment horizontal="center" vertical="top"/>
    </xf>
    <xf numFmtId="0" fontId="0" fillId="7" borderId="0" xfId="0" applyFill="1" applyAlignment="1">
      <alignment vertical="top" wrapText="1"/>
    </xf>
    <xf numFmtId="0" fontId="0" fillId="0" borderId="0" xfId="0" applyFill="1" applyBorder="1" applyAlignment="1">
      <alignment vertical="top"/>
    </xf>
    <xf numFmtId="0" fontId="30" fillId="0" borderId="0" xfId="0" applyFont="1" applyFill="1" applyAlignment="1">
      <alignment vertical="top"/>
    </xf>
    <xf numFmtId="0" fontId="64" fillId="0" borderId="0" xfId="2" applyFont="1" applyFill="1" applyAlignment="1">
      <alignment vertical="top"/>
    </xf>
    <xf numFmtId="0" fontId="30" fillId="0" borderId="0" xfId="2" applyFont="1" applyFill="1" applyAlignment="1">
      <alignment vertical="top"/>
    </xf>
    <xf numFmtId="0" fontId="37" fillId="0" borderId="0" xfId="2" applyFont="1" applyFill="1" applyAlignment="1">
      <alignment vertical="top"/>
    </xf>
    <xf numFmtId="0" fontId="32" fillId="4" borderId="115" xfId="2" applyFont="1" applyFill="1" applyBorder="1" applyAlignment="1">
      <alignment horizontal="center" vertical="top"/>
    </xf>
    <xf numFmtId="0" fontId="21" fillId="6" borderId="0" xfId="0" applyFont="1" applyFill="1" applyBorder="1" applyAlignment="1">
      <alignment horizontal="center"/>
    </xf>
    <xf numFmtId="0" fontId="21" fillId="2" borderId="0" xfId="2" applyFont="1" applyFill="1" applyAlignment="1">
      <alignment horizontal="center" vertical="top"/>
    </xf>
    <xf numFmtId="0" fontId="21" fillId="19" borderId="0" xfId="2" applyFont="1" applyFill="1" applyAlignment="1">
      <alignment horizontal="center" vertical="top"/>
    </xf>
    <xf numFmtId="0" fontId="30" fillId="0" borderId="0" xfId="2" applyFont="1" applyFill="1" applyAlignment="1">
      <alignment horizontal="center" vertical="center"/>
    </xf>
    <xf numFmtId="0" fontId="30" fillId="0" borderId="0" xfId="2" applyFont="1" applyFill="1" applyBorder="1" applyAlignment="1">
      <alignment horizontal="center" vertical="center"/>
    </xf>
    <xf numFmtId="0" fontId="30" fillId="2" borderId="0" xfId="2" applyFont="1" applyFill="1" applyAlignment="1">
      <alignment horizontal="center" vertical="top"/>
    </xf>
    <xf numFmtId="0" fontId="25" fillId="2" borderId="0" xfId="2" applyFont="1" applyFill="1" applyAlignment="1">
      <alignment horizontal="center" vertical="top"/>
    </xf>
    <xf numFmtId="0" fontId="21" fillId="2" borderId="0" xfId="2" applyFill="1" applyBorder="1" applyAlignment="1">
      <alignment horizontal="center" vertical="center"/>
    </xf>
    <xf numFmtId="3" fontId="21" fillId="2" borderId="0" xfId="2" applyNumberFormat="1" applyFill="1" applyBorder="1" applyAlignment="1">
      <alignment horizontal="center" vertical="top"/>
    </xf>
    <xf numFmtId="0" fontId="21" fillId="7" borderId="0" xfId="0" applyFont="1" applyFill="1" applyAlignment="1">
      <alignment vertical="top"/>
    </xf>
    <xf numFmtId="0" fontId="21" fillId="0" borderId="0" xfId="2" applyFont="1" applyFill="1" applyAlignment="1">
      <alignment vertical="top"/>
    </xf>
    <xf numFmtId="0" fontId="21" fillId="0" borderId="0" xfId="2" applyFont="1" applyFill="1" applyBorder="1" applyAlignment="1">
      <alignment vertical="top"/>
    </xf>
    <xf numFmtId="0" fontId="91" fillId="2" borderId="0" xfId="0" applyFont="1" applyFill="1"/>
    <xf numFmtId="0" fontId="21" fillId="0" borderId="17" xfId="2" applyFont="1" applyFill="1" applyBorder="1" applyAlignment="1">
      <alignment vertical="top"/>
    </xf>
    <xf numFmtId="0" fontId="21" fillId="0" borderId="0" xfId="2"/>
    <xf numFmtId="0" fontId="21" fillId="2" borderId="0" xfId="2" applyFont="1" applyFill="1" applyBorder="1" applyAlignment="1">
      <alignment vertical="top"/>
    </xf>
    <xf numFmtId="0" fontId="21" fillId="18" borderId="0" xfId="2" applyFont="1" applyFill="1" applyBorder="1" applyAlignment="1">
      <alignment vertical="top"/>
    </xf>
    <xf numFmtId="0" fontId="35" fillId="18" borderId="0" xfId="2" applyFont="1" applyFill="1" applyAlignment="1">
      <alignment horizontal="left" vertical="top"/>
    </xf>
    <xf numFmtId="0" fontId="92" fillId="0" borderId="0" xfId="0" applyFont="1"/>
    <xf numFmtId="0" fontId="21" fillId="22" borderId="0" xfId="2" applyFont="1" applyFill="1" applyAlignment="1">
      <alignment vertical="top"/>
    </xf>
    <xf numFmtId="0" fontId="0" fillId="2" borderId="0" xfId="0" applyFill="1" applyBorder="1" applyAlignment="1">
      <alignment vertical="top"/>
    </xf>
    <xf numFmtId="0" fontId="64" fillId="2" borderId="0" xfId="2" applyFont="1" applyFill="1" applyAlignment="1">
      <alignment horizontal="left" vertical="top"/>
    </xf>
    <xf numFmtId="0" fontId="64" fillId="18" borderId="0" xfId="2" applyFont="1" applyFill="1" applyAlignment="1">
      <alignment horizontal="left" vertical="top"/>
    </xf>
    <xf numFmtId="0" fontId="64" fillId="22" borderId="0" xfId="2" applyFont="1" applyFill="1" applyAlignment="1">
      <alignment vertical="top"/>
    </xf>
    <xf numFmtId="0" fontId="0" fillId="2" borderId="0" xfId="0" applyFill="1" applyBorder="1" applyAlignment="1">
      <alignment vertical="top"/>
    </xf>
    <xf numFmtId="0" fontId="21" fillId="7" borderId="0" xfId="2" applyFont="1" applyFill="1" applyBorder="1" applyAlignment="1">
      <alignment vertical="top" wrapText="1"/>
    </xf>
    <xf numFmtId="0" fontId="21" fillId="0" borderId="10" xfId="2" applyFont="1" applyFill="1" applyBorder="1" applyAlignment="1">
      <alignment vertical="top"/>
    </xf>
    <xf numFmtId="3" fontId="94" fillId="3" borderId="0" xfId="2" applyNumberFormat="1" applyFont="1" applyFill="1" applyBorder="1" applyAlignment="1">
      <alignment horizontal="center" vertical="top" wrapText="1"/>
    </xf>
    <xf numFmtId="0" fontId="21" fillId="3" borderId="69" xfId="2" applyFont="1" applyFill="1" applyBorder="1" applyAlignment="1">
      <alignment vertical="top"/>
    </xf>
    <xf numFmtId="0" fontId="21" fillId="0" borderId="0" xfId="2" applyBorder="1" applyAlignment="1">
      <alignment vertical="top"/>
    </xf>
    <xf numFmtId="0" fontId="21" fillId="7" borderId="13" xfId="2" applyFont="1" applyFill="1" applyBorder="1" applyAlignment="1">
      <alignment vertical="top"/>
    </xf>
    <xf numFmtId="3" fontId="37" fillId="5" borderId="31" xfId="2" applyNumberFormat="1" applyFont="1" applyFill="1" applyBorder="1" applyAlignment="1" applyProtection="1">
      <alignment horizontal="right" vertical="top"/>
      <protection locked="0"/>
    </xf>
    <xf numFmtId="3" fontId="21" fillId="3" borderId="128" xfId="2" applyNumberFormat="1" applyFont="1" applyFill="1" applyBorder="1" applyAlignment="1" applyProtection="1">
      <alignment horizontal="right" vertical="top"/>
      <protection locked="0"/>
    </xf>
    <xf numFmtId="3" fontId="37" fillId="5" borderId="120" xfId="2" applyNumberFormat="1" applyFont="1" applyFill="1" applyBorder="1" applyAlignment="1" applyProtection="1">
      <alignment horizontal="right" vertical="top"/>
      <protection locked="0"/>
    </xf>
    <xf numFmtId="0" fontId="37" fillId="0" borderId="0" xfId="2" applyFont="1" applyFill="1" applyBorder="1" applyAlignment="1">
      <alignment vertical="top"/>
    </xf>
    <xf numFmtId="3" fontId="21" fillId="11" borderId="16" xfId="2" applyNumberFormat="1" applyFont="1" applyFill="1" applyBorder="1" applyAlignment="1" applyProtection="1">
      <alignment horizontal="right"/>
      <protection locked="0"/>
    </xf>
    <xf numFmtId="3" fontId="21" fillId="0" borderId="43" xfId="2" applyNumberFormat="1" applyFont="1" applyFill="1" applyBorder="1" applyAlignment="1" applyProtection="1">
      <alignment horizontal="right"/>
      <protection locked="0"/>
    </xf>
    <xf numFmtId="0" fontId="37" fillId="0" borderId="7" xfId="2" applyFont="1" applyFill="1" applyBorder="1" applyAlignment="1">
      <alignment horizontal="left" vertical="top" wrapText="1"/>
    </xf>
    <xf numFmtId="3" fontId="21" fillId="0" borderId="14" xfId="2" applyNumberFormat="1" applyFont="1" applyFill="1" applyBorder="1" applyAlignment="1" applyProtection="1">
      <alignment horizontal="right"/>
      <protection locked="0"/>
    </xf>
    <xf numFmtId="3" fontId="21" fillId="11" borderId="13" xfId="2" applyNumberFormat="1" applyFont="1" applyFill="1" applyBorder="1" applyAlignment="1" applyProtection="1">
      <alignment horizontal="right"/>
      <protection locked="0"/>
    </xf>
    <xf numFmtId="3" fontId="21" fillId="0" borderId="101" xfId="2" applyNumberFormat="1" applyFont="1" applyFill="1" applyBorder="1" applyAlignment="1" applyProtection="1">
      <alignment horizontal="right" vertical="top"/>
      <protection locked="0"/>
    </xf>
    <xf numFmtId="0" fontId="38" fillId="0" borderId="93" xfId="2" applyFont="1" applyFill="1" applyBorder="1" applyAlignment="1">
      <alignment horizontal="left" vertical="top" wrapText="1" indent="1"/>
    </xf>
    <xf numFmtId="3" fontId="21" fillId="0" borderId="94" xfId="2" applyNumberFormat="1" applyFont="1" applyFill="1" applyBorder="1" applyAlignment="1" applyProtection="1">
      <alignment horizontal="right" vertical="top"/>
      <protection locked="0"/>
    </xf>
    <xf numFmtId="0" fontId="38" fillId="0" borderId="93" xfId="2" applyFont="1" applyFill="1" applyBorder="1" applyAlignment="1">
      <alignment horizontal="left" vertical="top" wrapText="1" indent="3"/>
    </xf>
    <xf numFmtId="3" fontId="21" fillId="0" borderId="25" xfId="2" applyNumberFormat="1" applyFont="1" applyFill="1" applyBorder="1" applyAlignment="1" applyProtection="1">
      <alignment horizontal="right"/>
      <protection locked="0"/>
    </xf>
    <xf numFmtId="3" fontId="37" fillId="0" borderId="5" xfId="2" applyNumberFormat="1" applyFont="1" applyFill="1" applyBorder="1" applyAlignment="1">
      <alignment horizontal="center" vertical="top"/>
    </xf>
    <xf numFmtId="0" fontId="21" fillId="0" borderId="0" xfId="2" applyFill="1" applyAlignment="1"/>
    <xf numFmtId="0" fontId="21" fillId="2" borderId="0" xfId="2" applyFill="1" applyAlignment="1"/>
    <xf numFmtId="3" fontId="21" fillId="0" borderId="15" xfId="2" applyNumberFormat="1" applyFont="1" applyFill="1" applyBorder="1" applyAlignment="1" applyProtection="1">
      <alignment horizontal="right" vertical="top"/>
      <protection locked="0"/>
    </xf>
    <xf numFmtId="3" fontId="21" fillId="0" borderId="14" xfId="2" applyNumberFormat="1" applyFont="1" applyFill="1" applyBorder="1" applyAlignment="1" applyProtection="1">
      <alignment horizontal="right" vertical="top"/>
      <protection locked="0"/>
    </xf>
    <xf numFmtId="3" fontId="21" fillId="11" borderId="13" xfId="2" applyNumberFormat="1" applyFont="1" applyFill="1" applyBorder="1" applyAlignment="1" applyProtection="1">
      <alignment horizontal="right" vertical="top"/>
      <protection locked="0"/>
    </xf>
    <xf numFmtId="3" fontId="21" fillId="0" borderId="96" xfId="2" applyNumberFormat="1" applyFont="1" applyFill="1" applyBorder="1" applyAlignment="1" applyProtection="1">
      <alignment horizontal="right" vertical="top"/>
      <protection locked="0"/>
    </xf>
    <xf numFmtId="0" fontId="21" fillId="0" borderId="95" xfId="2" applyFont="1" applyFill="1" applyBorder="1" applyAlignment="1">
      <alignment horizontal="left" vertical="top" wrapText="1"/>
    </xf>
    <xf numFmtId="3" fontId="21" fillId="0" borderId="69" xfId="2" applyNumberFormat="1" applyFont="1" applyFill="1" applyBorder="1" applyAlignment="1" applyProtection="1">
      <alignment horizontal="right" vertical="top"/>
      <protection locked="0"/>
    </xf>
    <xf numFmtId="3" fontId="21" fillId="0" borderId="12" xfId="2" applyNumberFormat="1" applyFont="1" applyFill="1" applyBorder="1" applyAlignment="1" applyProtection="1">
      <alignment horizontal="right" vertical="top"/>
      <protection locked="0"/>
    </xf>
    <xf numFmtId="0" fontId="58" fillId="0" borderId="0" xfId="2" applyFont="1" applyFill="1" applyAlignment="1">
      <alignment horizontal="left" vertical="top"/>
    </xf>
    <xf numFmtId="0" fontId="58" fillId="2" borderId="0" xfId="2" applyFont="1" applyFill="1" applyAlignment="1">
      <alignment horizontal="left" vertical="top"/>
    </xf>
    <xf numFmtId="3" fontId="21" fillId="0" borderId="15" xfId="2" applyNumberFormat="1" applyFont="1" applyFill="1" applyBorder="1" applyAlignment="1" applyProtection="1">
      <alignment horizontal="right"/>
      <protection locked="0"/>
    </xf>
    <xf numFmtId="0" fontId="38" fillId="0" borderId="93" xfId="2" applyFont="1" applyFill="1" applyBorder="1" applyAlignment="1">
      <alignment horizontal="left" vertical="top" wrapText="1"/>
    </xf>
    <xf numFmtId="0" fontId="21" fillId="0" borderId="94" xfId="2" applyBorder="1" applyAlignment="1">
      <alignment vertical="top"/>
    </xf>
    <xf numFmtId="3" fontId="37" fillId="0" borderId="3" xfId="2" applyNumberFormat="1" applyFont="1" applyFill="1" applyBorder="1" applyAlignment="1">
      <alignment horizontal="center" vertical="top"/>
    </xf>
    <xf numFmtId="0" fontId="37" fillId="0" borderId="4" xfId="2" applyFont="1" applyFill="1" applyBorder="1"/>
    <xf numFmtId="0" fontId="63" fillId="7" borderId="0" xfId="2" applyFont="1" applyFill="1" applyBorder="1" applyAlignment="1">
      <alignment horizontal="left" vertical="top" wrapText="1"/>
    </xf>
    <xf numFmtId="0" fontId="21" fillId="0" borderId="12" xfId="2" applyBorder="1" applyAlignment="1">
      <alignment horizontal="center" vertical="top" wrapText="1"/>
    </xf>
    <xf numFmtId="0" fontId="21" fillId="0" borderId="11" xfId="2" applyBorder="1" applyAlignment="1">
      <alignment horizontal="center" vertical="top" wrapText="1"/>
    </xf>
    <xf numFmtId="0" fontId="65" fillId="0" borderId="10" xfId="2" applyFont="1" applyFill="1" applyBorder="1" applyAlignment="1">
      <alignment horizontal="center" vertical="top" wrapText="1"/>
    </xf>
    <xf numFmtId="0" fontId="38" fillId="0" borderId="93" xfId="2" applyFont="1" applyFill="1" applyBorder="1" applyAlignment="1">
      <alignment horizontal="left" vertical="top" wrapText="1" indent="1"/>
    </xf>
    <xf numFmtId="3" fontId="21" fillId="0" borderId="0" xfId="2" applyNumberFormat="1" applyFont="1" applyFill="1" applyBorder="1" applyAlignment="1" applyProtection="1">
      <alignment horizontal="right" vertical="top"/>
    </xf>
    <xf numFmtId="3" fontId="21" fillId="0" borderId="5" xfId="2" applyNumberFormat="1" applyFont="1" applyFill="1" applyBorder="1" applyAlignment="1" applyProtection="1">
      <alignment horizontal="right" vertical="top"/>
    </xf>
    <xf numFmtId="0" fontId="21" fillId="7" borderId="88" xfId="2" applyFont="1" applyFill="1" applyBorder="1" applyAlignment="1">
      <alignment vertical="top"/>
    </xf>
    <xf numFmtId="0" fontId="21" fillId="7" borderId="98" xfId="2" applyFont="1" applyFill="1" applyBorder="1" applyAlignment="1">
      <alignment vertical="top"/>
    </xf>
    <xf numFmtId="3" fontId="38" fillId="3" borderId="15" xfId="2" applyNumberFormat="1" applyFont="1" applyFill="1" applyBorder="1" applyAlignment="1" applyProtection="1">
      <alignment horizontal="right" vertical="top"/>
      <protection locked="0"/>
    </xf>
    <xf numFmtId="3" fontId="21" fillId="0" borderId="3" xfId="2" applyNumberFormat="1" applyFont="1" applyFill="1" applyBorder="1" applyAlignment="1" applyProtection="1">
      <alignment horizontal="right" vertical="top"/>
    </xf>
    <xf numFmtId="0" fontId="21" fillId="3" borderId="4" xfId="2" applyFont="1" applyFill="1" applyBorder="1" applyAlignment="1">
      <alignment horizontal="left" vertical="top" indent="2"/>
    </xf>
    <xf numFmtId="3" fontId="38" fillId="3" borderId="69" xfId="2" applyNumberFormat="1" applyFont="1" applyFill="1" applyBorder="1" applyAlignment="1" applyProtection="1">
      <alignment horizontal="right" vertical="top"/>
      <protection locked="0"/>
    </xf>
    <xf numFmtId="3" fontId="21" fillId="0" borderId="107" xfId="2" applyNumberFormat="1" applyFont="1" applyFill="1" applyBorder="1" applyAlignment="1" applyProtection="1">
      <alignment horizontal="right" vertical="top"/>
      <protection locked="0"/>
    </xf>
    <xf numFmtId="3" fontId="37" fillId="3" borderId="59" xfId="2" applyNumberFormat="1" applyFont="1" applyFill="1" applyBorder="1" applyAlignment="1" applyProtection="1">
      <alignment horizontal="left" vertical="top"/>
      <protection locked="0"/>
    </xf>
    <xf numFmtId="0" fontId="38" fillId="0" borderId="18" xfId="0" applyFont="1" applyFill="1" applyBorder="1" applyAlignment="1">
      <alignment horizontal="left" vertical="top" wrapText="1"/>
    </xf>
    <xf numFmtId="0" fontId="38" fillId="7" borderId="2" xfId="0" applyFont="1" applyFill="1" applyBorder="1" applyAlignment="1">
      <alignment horizontal="left" vertical="top"/>
    </xf>
    <xf numFmtId="0" fontId="38" fillId="0" borderId="2" xfId="0" applyFont="1" applyFill="1" applyBorder="1" applyAlignment="1">
      <alignment horizontal="left" vertical="top"/>
    </xf>
    <xf numFmtId="0" fontId="38" fillId="0" borderId="4" xfId="0" applyFont="1" applyFill="1" applyBorder="1" applyAlignment="1">
      <alignment horizontal="left" vertical="top"/>
    </xf>
    <xf numFmtId="0" fontId="47" fillId="7" borderId="0" xfId="2" applyFont="1" applyFill="1" applyBorder="1" applyAlignment="1">
      <alignment vertical="top" wrapText="1"/>
    </xf>
    <xf numFmtId="0" fontId="47" fillId="7" borderId="0" xfId="0" applyFont="1" applyFill="1" applyBorder="1" applyAlignment="1">
      <alignment horizontal="left" vertical="top" wrapText="1"/>
    </xf>
    <xf numFmtId="3" fontId="38" fillId="3" borderId="29" xfId="2" applyNumberFormat="1" applyFont="1" applyFill="1" applyBorder="1" applyAlignment="1" applyProtection="1">
      <alignment horizontal="right" vertical="top"/>
      <protection locked="0"/>
    </xf>
    <xf numFmtId="3" fontId="21" fillId="3" borderId="66" xfId="2" applyNumberFormat="1" applyFont="1" applyFill="1" applyBorder="1" applyAlignment="1" applyProtection="1">
      <alignment horizontal="right" vertical="top"/>
      <protection locked="0"/>
    </xf>
    <xf numFmtId="3" fontId="21" fillId="4" borderId="18" xfId="2" applyNumberFormat="1" applyFont="1" applyFill="1" applyBorder="1" applyAlignment="1" applyProtection="1">
      <alignment horizontal="right" vertical="top"/>
    </xf>
    <xf numFmtId="3" fontId="38" fillId="3" borderId="25" xfId="2" applyNumberFormat="1" applyFont="1" applyFill="1" applyBorder="1" applyAlignment="1" applyProtection="1">
      <alignment horizontal="right" vertical="top"/>
      <protection locked="0"/>
    </xf>
    <xf numFmtId="3" fontId="38" fillId="3" borderId="13" xfId="2" applyNumberFormat="1" applyFont="1" applyFill="1" applyBorder="1" applyAlignment="1" applyProtection="1">
      <alignment horizontal="right" vertical="top"/>
      <protection locked="0"/>
    </xf>
    <xf numFmtId="0" fontId="21" fillId="7" borderId="13" xfId="2" applyFont="1" applyFill="1" applyBorder="1" applyAlignment="1">
      <alignment horizontal="left" vertical="top" indent="1"/>
    </xf>
    <xf numFmtId="0" fontId="37" fillId="7" borderId="37" xfId="2" applyFont="1" applyFill="1" applyBorder="1" applyAlignment="1">
      <alignment vertical="top"/>
    </xf>
    <xf numFmtId="0" fontId="21" fillId="7" borderId="62" xfId="2" applyFont="1" applyFill="1" applyBorder="1" applyAlignment="1">
      <alignment vertical="top"/>
    </xf>
    <xf numFmtId="3" fontId="37" fillId="0" borderId="14" xfId="2" applyNumberFormat="1" applyFont="1" applyFill="1" applyBorder="1" applyAlignment="1" applyProtection="1">
      <alignment horizontal="right" vertical="top"/>
      <protection locked="0"/>
    </xf>
    <xf numFmtId="0" fontId="38" fillId="0" borderId="61" xfId="2" applyFont="1" applyFill="1" applyBorder="1" applyAlignment="1">
      <alignment vertical="top"/>
    </xf>
    <xf numFmtId="3" fontId="21" fillId="0" borderId="61" xfId="2" applyNumberFormat="1" applyFont="1" applyFill="1" applyBorder="1" applyAlignment="1" applyProtection="1">
      <alignment horizontal="right" vertical="top"/>
      <protection locked="0"/>
    </xf>
    <xf numFmtId="3" fontId="21" fillId="0" borderId="97" xfId="2" applyNumberFormat="1" applyFont="1" applyFill="1" applyBorder="1" applyAlignment="1" applyProtection="1">
      <alignment horizontal="right" vertical="top"/>
      <protection locked="0"/>
    </xf>
    <xf numFmtId="3" fontId="37" fillId="11" borderId="49" xfId="2" applyNumberFormat="1" applyFont="1" applyFill="1" applyBorder="1" applyAlignment="1" applyProtection="1">
      <alignment horizontal="right" vertical="top"/>
      <protection locked="0"/>
    </xf>
    <xf numFmtId="3" fontId="37" fillId="11" borderId="30" xfId="2" applyNumberFormat="1" applyFont="1" applyFill="1" applyBorder="1" applyAlignment="1" applyProtection="1">
      <alignment horizontal="right" vertical="top"/>
      <protection locked="0"/>
    </xf>
    <xf numFmtId="3" fontId="37" fillId="11" borderId="42" xfId="2" applyNumberFormat="1" applyFont="1" applyFill="1" applyBorder="1" applyAlignment="1" applyProtection="1">
      <alignment horizontal="right" vertical="top"/>
      <protection locked="0"/>
    </xf>
    <xf numFmtId="0" fontId="37" fillId="0" borderId="59" xfId="2" applyFont="1" applyFill="1" applyBorder="1" applyAlignment="1">
      <alignment vertical="top" wrapText="1"/>
    </xf>
    <xf numFmtId="0" fontId="21" fillId="0" borderId="98" xfId="2" applyFont="1" applyFill="1" applyBorder="1" applyAlignment="1">
      <alignment vertical="top" wrapText="1"/>
    </xf>
    <xf numFmtId="0" fontId="37" fillId="0" borderId="68" xfId="2" applyFont="1" applyFill="1" applyBorder="1" applyAlignment="1">
      <alignment vertical="top"/>
    </xf>
    <xf numFmtId="0" fontId="21" fillId="0" borderId="91" xfId="2" applyFont="1" applyFill="1" applyBorder="1" applyAlignment="1">
      <alignment vertical="top" wrapText="1"/>
    </xf>
    <xf numFmtId="0" fontId="37" fillId="0" borderId="88" xfId="2" applyFont="1" applyFill="1" applyBorder="1" applyAlignment="1">
      <alignment vertical="top" wrapText="1"/>
    </xf>
    <xf numFmtId="0" fontId="47" fillId="7" borderId="0" xfId="2" applyNumberFormat="1" applyFont="1" applyFill="1" applyBorder="1" applyAlignment="1">
      <alignment vertical="top" wrapText="1"/>
    </xf>
    <xf numFmtId="0" fontId="47" fillId="7" borderId="102" xfId="2" applyFont="1" applyFill="1" applyBorder="1" applyAlignment="1">
      <alignment vertical="top" wrapText="1"/>
    </xf>
    <xf numFmtId="0" fontId="47" fillId="0" borderId="0" xfId="2" applyFont="1" applyFill="1" applyBorder="1" applyAlignment="1">
      <alignment vertical="top" wrapText="1"/>
    </xf>
    <xf numFmtId="0" fontId="38" fillId="0" borderId="100" xfId="2" applyFont="1" applyFill="1" applyBorder="1" applyAlignment="1">
      <alignment horizontal="left" vertical="top" wrapText="1" indent="1"/>
    </xf>
    <xf numFmtId="3" fontId="21" fillId="11" borderId="39" xfId="2" applyNumberFormat="1" applyFont="1" applyFill="1" applyBorder="1" applyAlignment="1" applyProtection="1">
      <alignment horizontal="right" vertical="top"/>
      <protection locked="0"/>
    </xf>
    <xf numFmtId="3" fontId="37" fillId="5" borderId="38" xfId="2" applyNumberFormat="1" applyFont="1" applyFill="1" applyBorder="1" applyAlignment="1" applyProtection="1">
      <alignment horizontal="right" vertical="top"/>
      <protection locked="0"/>
    </xf>
    <xf numFmtId="3" fontId="21" fillId="11" borderId="24" xfId="2" applyNumberFormat="1" applyFont="1" applyFill="1" applyBorder="1" applyAlignment="1" applyProtection="1">
      <alignment horizontal="right" vertical="top"/>
      <protection locked="0"/>
    </xf>
    <xf numFmtId="3" fontId="21" fillId="11" borderId="49" xfId="2" applyNumberFormat="1" applyFont="1" applyFill="1" applyBorder="1" applyAlignment="1" applyProtection="1">
      <alignment horizontal="right" vertical="top"/>
      <protection locked="0"/>
    </xf>
    <xf numFmtId="3" fontId="37" fillId="5" borderId="50" xfId="2" applyNumberFormat="1" applyFont="1" applyFill="1" applyBorder="1" applyAlignment="1" applyProtection="1">
      <alignment horizontal="right" vertical="top"/>
      <protection locked="0"/>
    </xf>
    <xf numFmtId="0" fontId="37" fillId="0" borderId="29" xfId="2" applyFont="1" applyFill="1" applyBorder="1" applyAlignment="1">
      <alignment vertical="top" wrapText="1"/>
    </xf>
    <xf numFmtId="0" fontId="38" fillId="0" borderId="29" xfId="2" applyFont="1" applyFill="1" applyBorder="1" applyAlignment="1">
      <alignment horizontal="left" vertical="top" wrapText="1" indent="1"/>
    </xf>
    <xf numFmtId="0" fontId="38" fillId="0" borderId="30" xfId="2" applyFont="1" applyFill="1" applyBorder="1" applyAlignment="1">
      <alignment horizontal="left" vertical="top" wrapText="1" indent="1"/>
    </xf>
    <xf numFmtId="0" fontId="37" fillId="0" borderId="62" xfId="2" applyFont="1" applyFill="1" applyBorder="1" applyAlignment="1">
      <alignment horizontal="left" vertical="top" wrapText="1"/>
    </xf>
    <xf numFmtId="0" fontId="21" fillId="3" borderId="15" xfId="2" applyFont="1" applyFill="1" applyBorder="1" applyAlignment="1">
      <alignment horizontal="left" vertical="top" wrapText="1"/>
    </xf>
    <xf numFmtId="3" fontId="21" fillId="3" borderId="131" xfId="2" applyNumberFormat="1" applyFont="1" applyFill="1" applyBorder="1" applyAlignment="1" applyProtection="1">
      <alignment horizontal="right" vertical="top"/>
      <protection locked="0"/>
    </xf>
    <xf numFmtId="0" fontId="38" fillId="3" borderId="18" xfId="2" applyFont="1" applyFill="1" applyBorder="1" applyAlignment="1">
      <alignment horizontal="left" vertical="top"/>
    </xf>
    <xf numFmtId="0" fontId="38" fillId="0" borderId="18" xfId="2" applyFont="1" applyFill="1" applyBorder="1" applyAlignment="1">
      <alignment horizontal="left" vertical="top" wrapText="1"/>
    </xf>
    <xf numFmtId="0" fontId="38" fillId="0" borderId="30" xfId="2" applyFont="1" applyFill="1" applyBorder="1" applyAlignment="1">
      <alignment horizontal="left" vertical="top" wrapText="1"/>
    </xf>
    <xf numFmtId="0" fontId="38" fillId="0" borderId="18" xfId="2" applyFont="1" applyFill="1" applyBorder="1" applyAlignment="1">
      <alignment vertical="top" wrapText="1"/>
    </xf>
    <xf numFmtId="0" fontId="38" fillId="0" borderId="30" xfId="2" applyFont="1" applyFill="1" applyBorder="1" applyAlignment="1">
      <alignment vertical="top" wrapText="1"/>
    </xf>
    <xf numFmtId="3" fontId="21" fillId="11" borderId="38" xfId="2" applyNumberFormat="1" applyFont="1" applyFill="1" applyBorder="1" applyAlignment="1" applyProtection="1">
      <alignment horizontal="right" vertical="top"/>
      <protection locked="0"/>
    </xf>
    <xf numFmtId="0" fontId="37" fillId="0" borderId="73" xfId="2" applyFont="1" applyFill="1" applyBorder="1" applyAlignment="1">
      <alignment vertical="top"/>
    </xf>
    <xf numFmtId="3" fontId="38" fillId="0" borderId="13" xfId="2" applyNumberFormat="1" applyFont="1" applyFill="1" applyBorder="1" applyAlignment="1" applyProtection="1">
      <alignment horizontal="right" vertical="top"/>
      <protection locked="0"/>
    </xf>
    <xf numFmtId="3" fontId="21" fillId="4" borderId="30" xfId="2" applyNumberFormat="1" applyFont="1" applyFill="1" applyBorder="1" applyAlignment="1" applyProtection="1">
      <alignment horizontal="right" vertical="top"/>
      <protection locked="0"/>
    </xf>
    <xf numFmtId="3" fontId="21" fillId="11" borderId="52" xfId="2" applyNumberFormat="1" applyFont="1" applyFill="1" applyBorder="1" applyAlignment="1" applyProtection="1">
      <alignment horizontal="right" vertical="top"/>
      <protection locked="0"/>
    </xf>
    <xf numFmtId="3" fontId="37" fillId="5" borderId="25" xfId="2" applyNumberFormat="1" applyFont="1" applyFill="1" applyBorder="1" applyAlignment="1" applyProtection="1">
      <alignment horizontal="right"/>
      <protection locked="0"/>
    </xf>
    <xf numFmtId="3" fontId="21" fillId="0" borderId="87" xfId="2" applyNumberFormat="1" applyFont="1" applyFill="1" applyBorder="1" applyAlignment="1" applyProtection="1">
      <alignment horizontal="right" vertical="top"/>
      <protection locked="0"/>
    </xf>
    <xf numFmtId="3" fontId="37" fillId="11" borderId="31" xfId="2" applyNumberFormat="1" applyFont="1" applyFill="1" applyBorder="1" applyAlignment="1" applyProtection="1">
      <alignment horizontal="right" vertical="top"/>
      <protection locked="0"/>
    </xf>
    <xf numFmtId="0" fontId="81" fillId="21" borderId="2" xfId="17" applyFont="1" applyFill="1" applyBorder="1" applyAlignment="1">
      <alignment vertical="center"/>
    </xf>
    <xf numFmtId="0" fontId="37" fillId="0" borderId="10" xfId="2" applyFont="1" applyFill="1" applyBorder="1" applyAlignment="1">
      <alignment vertical="top"/>
    </xf>
    <xf numFmtId="0" fontId="21" fillId="7" borderId="0" xfId="2" applyFont="1" applyFill="1" applyBorder="1" applyAlignment="1">
      <alignment vertical="top" wrapText="1"/>
    </xf>
    <xf numFmtId="0" fontId="21" fillId="0" borderId="11" xfId="2" applyBorder="1" applyAlignment="1">
      <alignment vertical="top"/>
    </xf>
    <xf numFmtId="0" fontId="21" fillId="0" borderId="12" xfId="2" applyBorder="1" applyAlignment="1">
      <alignment vertical="top"/>
    </xf>
    <xf numFmtId="0" fontId="38" fillId="0" borderId="57" xfId="2" applyFont="1" applyFill="1" applyBorder="1" applyAlignment="1">
      <alignment horizontal="left" vertical="top" wrapText="1" indent="2"/>
    </xf>
    <xf numFmtId="0" fontId="22" fillId="3" borderId="0" xfId="0" applyNumberFormat="1" applyFont="1" applyFill="1" applyBorder="1" applyAlignment="1">
      <alignment horizontal="center" vertical="top" wrapText="1"/>
    </xf>
    <xf numFmtId="0" fontId="21" fillId="0" borderId="0" xfId="0" applyNumberFormat="1" applyFont="1" applyBorder="1" applyAlignment="1">
      <alignment wrapText="1"/>
    </xf>
    <xf numFmtId="0" fontId="21" fillId="0" borderId="0" xfId="0" applyNumberFormat="1" applyFont="1" applyFill="1" applyBorder="1" applyAlignment="1">
      <alignment horizontal="center" vertical="top" wrapText="1"/>
    </xf>
    <xf numFmtId="0" fontId="21" fillId="0" borderId="0" xfId="0" applyNumberFormat="1" applyFont="1" applyFill="1" applyBorder="1" applyAlignment="1">
      <alignment horizontal="left" vertical="top" wrapText="1"/>
    </xf>
    <xf numFmtId="0" fontId="21" fillId="17" borderId="0" xfId="0" applyNumberFormat="1" applyFont="1" applyFill="1" applyAlignment="1">
      <alignment horizontal="left" vertical="top" wrapText="1"/>
    </xf>
    <xf numFmtId="0" fontId="27" fillId="7" borderId="0" xfId="0" applyNumberFormat="1" applyFont="1" applyFill="1" applyBorder="1" applyAlignment="1">
      <alignment horizontal="center" vertical="top" wrapText="1"/>
    </xf>
    <xf numFmtId="0" fontId="21" fillId="7" borderId="0" xfId="0" applyNumberFormat="1" applyFont="1" applyFill="1" applyBorder="1" applyAlignment="1">
      <alignment horizontal="left" vertical="top" wrapText="1"/>
    </xf>
    <xf numFmtId="0" fontId="21" fillId="2" borderId="0" xfId="0" applyNumberFormat="1" applyFont="1" applyFill="1" applyAlignment="1">
      <alignment horizontal="center" vertical="top" wrapText="1"/>
    </xf>
    <xf numFmtId="0" fontId="37" fillId="2" borderId="0" xfId="2" applyFont="1" applyFill="1" applyAlignment="1">
      <alignment horizontal="left" vertical="center"/>
    </xf>
    <xf numFmtId="0" fontId="78" fillId="2" borderId="0" xfId="2" applyFont="1" applyFill="1" applyAlignment="1">
      <alignment horizontal="left" vertical="top"/>
    </xf>
    <xf numFmtId="3" fontId="66" fillId="0" borderId="26" xfId="2" applyNumberFormat="1" applyFont="1" applyFill="1" applyBorder="1" applyAlignment="1" applyProtection="1">
      <alignment horizontal="right" vertical="top"/>
      <protection locked="0"/>
    </xf>
    <xf numFmtId="3" fontId="66" fillId="0" borderId="27" xfId="2" applyNumberFormat="1" applyFont="1" applyFill="1" applyBorder="1" applyAlignment="1" applyProtection="1">
      <alignment horizontal="right" vertical="top"/>
      <protection locked="0"/>
    </xf>
    <xf numFmtId="3" fontId="37" fillId="11" borderId="68" xfId="2" applyNumberFormat="1" applyFont="1" applyFill="1" applyBorder="1" applyAlignment="1" applyProtection="1">
      <alignment horizontal="right" vertical="top"/>
      <protection locked="0"/>
    </xf>
    <xf numFmtId="3" fontId="37" fillId="11" borderId="39" xfId="2" applyNumberFormat="1" applyFont="1" applyFill="1" applyBorder="1" applyAlignment="1" applyProtection="1">
      <alignment horizontal="right" vertical="top"/>
      <protection locked="0"/>
    </xf>
    <xf numFmtId="0" fontId="47" fillId="4" borderId="0" xfId="0" applyFont="1" applyFill="1"/>
    <xf numFmtId="0" fontId="98" fillId="4" borderId="0" xfId="0" applyFont="1" applyFill="1"/>
    <xf numFmtId="0" fontId="47" fillId="2" borderId="0" xfId="0" applyFont="1" applyFill="1"/>
    <xf numFmtId="0" fontId="47" fillId="14" borderId="0" xfId="0" applyFont="1" applyFill="1"/>
    <xf numFmtId="0" fontId="98" fillId="2" borderId="0" xfId="0" applyFont="1" applyFill="1"/>
    <xf numFmtId="0" fontId="22" fillId="4" borderId="0" xfId="0" applyNumberFormat="1" applyFont="1" applyFill="1" applyBorder="1" applyAlignment="1">
      <alignment horizontal="center" vertical="top" wrapText="1"/>
    </xf>
    <xf numFmtId="0" fontId="100" fillId="7" borderId="0" xfId="0" applyNumberFormat="1" applyFont="1" applyFill="1" applyBorder="1" applyAlignment="1">
      <alignment horizontal="center" vertical="top" wrapText="1"/>
    </xf>
    <xf numFmtId="0" fontId="101" fillId="0" borderId="0" xfId="0" applyNumberFormat="1" applyFont="1" applyFill="1" applyBorder="1" applyAlignment="1">
      <alignment horizontal="center" vertical="top" wrapText="1"/>
    </xf>
    <xf numFmtId="0" fontId="21" fillId="2" borderId="0" xfId="0" applyNumberFormat="1" applyFont="1" applyFill="1" applyBorder="1" applyAlignment="1">
      <alignment vertical="top" wrapText="1"/>
    </xf>
    <xf numFmtId="0" fontId="21" fillId="0" borderId="0" xfId="0" applyNumberFormat="1" applyFont="1" applyBorder="1" applyAlignment="1" applyProtection="1">
      <alignment vertical="top" wrapText="1"/>
      <protection locked="0"/>
    </xf>
    <xf numFmtId="0" fontId="22" fillId="0" borderId="0" xfId="0" applyNumberFormat="1" applyFont="1" applyFill="1" applyBorder="1" applyAlignment="1">
      <alignment horizontal="center" vertical="top" wrapText="1"/>
    </xf>
    <xf numFmtId="0" fontId="21" fillId="0" borderId="0" xfId="0" applyNumberFormat="1" applyFont="1" applyBorder="1" applyAlignment="1">
      <alignment horizontal="left" vertical="top" wrapText="1"/>
    </xf>
    <xf numFmtId="0" fontId="21" fillId="7" borderId="0" xfId="0" applyNumberFormat="1" applyFont="1" applyFill="1" applyBorder="1" applyAlignment="1">
      <alignment vertical="top" wrapText="1"/>
    </xf>
    <xf numFmtId="0" fontId="102" fillId="7" borderId="0" xfId="0" applyNumberFormat="1" applyFont="1" applyFill="1" applyBorder="1" applyAlignment="1">
      <alignment horizontal="left" wrapText="1"/>
    </xf>
    <xf numFmtId="0" fontId="21" fillId="7" borderId="0" xfId="0" applyNumberFormat="1" applyFont="1" applyFill="1" applyBorder="1" applyAlignment="1">
      <alignment horizontal="center" vertical="top" wrapText="1"/>
    </xf>
    <xf numFmtId="0" fontId="21" fillId="6" borderId="0" xfId="0" applyNumberFormat="1" applyFont="1" applyFill="1" applyBorder="1" applyAlignment="1">
      <alignment horizontal="center" vertical="top" wrapText="1"/>
    </xf>
    <xf numFmtId="0" fontId="21" fillId="7" borderId="0" xfId="0" applyNumberFormat="1" applyFont="1" applyFill="1" applyBorder="1" applyAlignment="1">
      <alignment horizontal="right" vertical="top" wrapText="1"/>
    </xf>
    <xf numFmtId="0" fontId="21" fillId="18" borderId="0" xfId="0" applyNumberFormat="1" applyFont="1" applyFill="1" applyBorder="1" applyAlignment="1">
      <alignment wrapText="1"/>
    </xf>
    <xf numFmtId="0" fontId="21" fillId="7" borderId="0" xfId="0" applyNumberFormat="1" applyFont="1" applyFill="1" applyAlignment="1">
      <alignment vertical="top" wrapText="1"/>
    </xf>
    <xf numFmtId="0" fontId="21" fillId="7" borderId="0" xfId="0" applyNumberFormat="1" applyFont="1" applyFill="1" applyBorder="1" applyAlignment="1" applyProtection="1">
      <alignment vertical="top" wrapText="1"/>
      <protection locked="0"/>
    </xf>
    <xf numFmtId="0" fontId="99" fillId="8" borderId="0" xfId="0" applyNumberFormat="1" applyFont="1" applyFill="1" applyBorder="1" applyAlignment="1">
      <alignment horizontal="left" vertical="top"/>
    </xf>
    <xf numFmtId="0" fontId="21" fillId="2" borderId="0" xfId="2" applyFont="1" applyFill="1" applyAlignment="1">
      <alignment horizontal="left" vertical="center"/>
    </xf>
    <xf numFmtId="0" fontId="37" fillId="0" borderId="73" xfId="2" applyFont="1" applyFill="1" applyBorder="1" applyAlignment="1">
      <alignment vertical="top" wrapText="1"/>
    </xf>
    <xf numFmtId="0" fontId="38" fillId="0" borderId="57" xfId="2" applyFont="1" applyFill="1" applyBorder="1" applyAlignment="1">
      <alignment horizontal="left" vertical="top" indent="1"/>
    </xf>
    <xf numFmtId="0" fontId="38" fillId="0" borderId="25" xfId="2" applyFont="1" applyFill="1" applyBorder="1" applyAlignment="1">
      <alignment horizontal="left" vertical="top" wrapText="1" indent="1"/>
    </xf>
    <xf numFmtId="3" fontId="38" fillId="0" borderId="26" xfId="2" applyNumberFormat="1" applyFont="1" applyFill="1" applyBorder="1" applyAlignment="1" applyProtection="1">
      <alignment horizontal="right" vertical="top"/>
      <protection locked="0"/>
    </xf>
    <xf numFmtId="3" fontId="21" fillId="0" borderId="27" xfId="2" applyNumberFormat="1" applyFont="1" applyFill="1" applyBorder="1" applyAlignment="1" applyProtection="1">
      <alignment horizontal="right" vertical="top"/>
      <protection locked="0"/>
    </xf>
    <xf numFmtId="3" fontId="37" fillId="5" borderId="28" xfId="2" applyNumberFormat="1" applyFont="1" applyFill="1" applyBorder="1" applyAlignment="1" applyProtection="1">
      <alignment horizontal="right" vertical="top"/>
      <protection locked="0"/>
    </xf>
    <xf numFmtId="0" fontId="21" fillId="3" borderId="10" xfId="2" applyFont="1" applyFill="1" applyBorder="1" applyAlignment="1">
      <alignment horizontal="left" vertical="top" wrapText="1"/>
    </xf>
    <xf numFmtId="0" fontId="37" fillId="3" borderId="4" xfId="2" applyFont="1" applyFill="1" applyBorder="1" applyAlignment="1">
      <alignment vertical="top"/>
    </xf>
    <xf numFmtId="0" fontId="21" fillId="7" borderId="0" xfId="2" applyFont="1" applyFill="1" applyBorder="1" applyAlignment="1">
      <alignment vertical="top" wrapText="1"/>
    </xf>
    <xf numFmtId="0" fontId="21" fillId="0" borderId="0" xfId="2" applyFont="1" applyFill="1" applyBorder="1" applyAlignment="1">
      <alignment vertical="top" wrapText="1"/>
    </xf>
    <xf numFmtId="0" fontId="38" fillId="0" borderId="6" xfId="2" applyFont="1" applyFill="1" applyBorder="1" applyAlignment="1">
      <alignment horizontal="left" vertical="center" wrapText="1" indent="1"/>
    </xf>
    <xf numFmtId="0" fontId="65" fillId="0" borderId="0" xfId="2" applyFont="1"/>
    <xf numFmtId="0" fontId="21" fillId="0" borderId="0" xfId="2" applyAlignment="1"/>
    <xf numFmtId="0" fontId="21" fillId="6" borderId="0" xfId="2" applyFont="1" applyFill="1" applyBorder="1" applyAlignment="1"/>
    <xf numFmtId="0" fontId="21" fillId="6" borderId="0" xfId="2" applyFont="1" applyFill="1" applyBorder="1" applyAlignment="1">
      <alignment horizontal="left"/>
    </xf>
    <xf numFmtId="0" fontId="37" fillId="0" borderId="0" xfId="2" applyFont="1" applyFill="1" applyBorder="1" applyAlignment="1">
      <alignment horizontal="right" vertical="top"/>
    </xf>
    <xf numFmtId="0" fontId="21" fillId="6" borderId="0" xfId="2" applyFont="1" applyFill="1" applyAlignment="1">
      <alignment vertical="top" wrapText="1"/>
    </xf>
    <xf numFmtId="0" fontId="21" fillId="6" borderId="0" xfId="2" applyFont="1" applyFill="1" applyBorder="1" applyAlignment="1">
      <alignment vertical="top" wrapText="1"/>
    </xf>
    <xf numFmtId="0" fontId="21" fillId="0" borderId="0" xfId="2" applyAlignment="1">
      <alignment vertical="top"/>
    </xf>
    <xf numFmtId="0" fontId="21" fillId="0" borderId="0" xfId="2" applyAlignment="1">
      <alignment vertical="top"/>
    </xf>
    <xf numFmtId="3" fontId="38" fillId="6" borderId="32" xfId="2" applyNumberFormat="1" applyFont="1" applyFill="1" applyBorder="1" applyAlignment="1" applyProtection="1">
      <alignment horizontal="right" vertical="top"/>
      <protection locked="0"/>
    </xf>
    <xf numFmtId="3" fontId="38" fillId="6" borderId="33" xfId="2" applyNumberFormat="1" applyFont="1" applyFill="1" applyBorder="1" applyAlignment="1" applyProtection="1">
      <alignment horizontal="right" vertical="top"/>
      <protection locked="0"/>
    </xf>
    <xf numFmtId="3" fontId="36" fillId="0" borderId="34" xfId="2" applyNumberFormat="1" applyFont="1" applyFill="1" applyBorder="1" applyAlignment="1" applyProtection="1">
      <alignment horizontal="right" vertical="top"/>
      <protection locked="0"/>
    </xf>
    <xf numFmtId="3" fontId="21" fillId="6" borderId="32" xfId="2" applyNumberFormat="1" applyFont="1" applyFill="1" applyBorder="1" applyAlignment="1" applyProtection="1">
      <alignment horizontal="right" vertical="top"/>
      <protection locked="0"/>
    </xf>
    <xf numFmtId="3" fontId="21" fillId="6" borderId="33" xfId="2" applyNumberFormat="1" applyFont="1" applyFill="1" applyBorder="1" applyAlignment="1" applyProtection="1">
      <alignment horizontal="right" vertical="top"/>
      <protection locked="0"/>
    </xf>
    <xf numFmtId="3" fontId="21" fillId="3" borderId="107" xfId="2" applyNumberFormat="1" applyFont="1" applyFill="1" applyBorder="1" applyAlignment="1" applyProtection="1">
      <alignment horizontal="right" vertical="top"/>
      <protection locked="0"/>
    </xf>
    <xf numFmtId="0" fontId="21" fillId="0" borderId="0" xfId="2" applyAlignment="1">
      <alignment vertical="top"/>
    </xf>
    <xf numFmtId="0" fontId="37" fillId="0" borderId="12" xfId="2" applyFont="1" applyFill="1" applyBorder="1" applyAlignment="1">
      <alignment horizontal="center" vertical="top" wrapText="1"/>
    </xf>
    <xf numFmtId="3" fontId="45" fillId="3" borderId="0" xfId="2" applyNumberFormat="1" applyFont="1" applyFill="1" applyAlignment="1">
      <alignment horizontal="left" vertical="top"/>
    </xf>
    <xf numFmtId="0" fontId="21" fillId="0" borderId="0" xfId="2" applyFill="1" applyAlignment="1">
      <alignment horizontal="left" vertical="top"/>
    </xf>
    <xf numFmtId="0" fontId="3" fillId="0" borderId="0" xfId="17" applyFont="1" applyBorder="1" applyAlignment="1"/>
    <xf numFmtId="0" fontId="21" fillId="0" borderId="0" xfId="2" applyAlignment="1">
      <alignment vertical="top"/>
    </xf>
    <xf numFmtId="0" fontId="21" fillId="18" borderId="0" xfId="0" applyNumberFormat="1" applyFont="1" applyFill="1" applyBorder="1" applyAlignment="1">
      <alignment horizontal="left" vertical="top" wrapText="1"/>
    </xf>
    <xf numFmtId="0" fontId="37" fillId="0" borderId="18" xfId="0" applyFont="1" applyFill="1" applyBorder="1" applyAlignment="1">
      <alignment vertical="top" wrapText="1"/>
    </xf>
    <xf numFmtId="0" fontId="24" fillId="7" borderId="2" xfId="2" applyFont="1" applyFill="1" applyBorder="1" applyAlignment="1">
      <alignment horizontal="left" vertical="top" indent="2"/>
    </xf>
    <xf numFmtId="0" fontId="21" fillId="2" borderId="0" xfId="0" applyNumberFormat="1" applyFont="1" applyFill="1" applyAlignment="1">
      <alignment horizontal="left" vertical="top" wrapText="1"/>
    </xf>
    <xf numFmtId="0" fontId="0" fillId="2" borderId="0" xfId="0" applyFill="1" applyBorder="1" applyAlignment="1">
      <alignment vertical="top"/>
    </xf>
    <xf numFmtId="0" fontId="21" fillId="0" borderId="0" xfId="2" applyAlignment="1">
      <alignment vertical="top"/>
    </xf>
    <xf numFmtId="0" fontId="0" fillId="2" borderId="0" xfId="0" applyFill="1" applyBorder="1" applyAlignment="1">
      <alignment vertical="top"/>
    </xf>
    <xf numFmtId="0" fontId="21" fillId="7" borderId="0" xfId="2" applyFont="1" applyFill="1" applyBorder="1" applyAlignment="1">
      <alignment vertical="top" wrapText="1"/>
    </xf>
    <xf numFmtId="0" fontId="38" fillId="0" borderId="0" xfId="2" applyFont="1" applyFill="1" applyBorder="1" applyAlignment="1">
      <alignment horizontal="left" vertical="top" wrapText="1" indent="1"/>
    </xf>
    <xf numFmtId="3" fontId="38" fillId="0" borderId="0" xfId="2" applyNumberFormat="1" applyFont="1" applyFill="1" applyBorder="1" applyAlignment="1" applyProtection="1">
      <alignment horizontal="right" vertical="top"/>
      <protection locked="0"/>
    </xf>
    <xf numFmtId="0" fontId="37" fillId="7" borderId="0" xfId="2" applyFont="1" applyFill="1" applyBorder="1" applyAlignment="1">
      <alignment horizontal="left" vertical="top" wrapText="1"/>
    </xf>
    <xf numFmtId="3" fontId="37" fillId="7" borderId="0" xfId="2" applyNumberFormat="1" applyFont="1" applyFill="1" applyBorder="1" applyAlignment="1" applyProtection="1">
      <alignment horizontal="left" vertical="top"/>
      <protection locked="0"/>
    </xf>
    <xf numFmtId="3" fontId="37" fillId="3" borderId="0" xfId="2" applyNumberFormat="1" applyFont="1" applyFill="1" applyBorder="1" applyAlignment="1">
      <alignment horizontal="left" vertical="top"/>
    </xf>
    <xf numFmtId="3" fontId="37" fillId="3" borderId="1" xfId="2" applyNumberFormat="1" applyFont="1" applyFill="1" applyBorder="1" applyAlignment="1">
      <alignment horizontal="left" vertical="top"/>
    </xf>
    <xf numFmtId="0" fontId="37" fillId="3" borderId="17" xfId="2" applyFont="1" applyFill="1" applyBorder="1" applyAlignment="1">
      <alignment horizontal="left" vertical="top"/>
    </xf>
    <xf numFmtId="3" fontId="37" fillId="10" borderId="87" xfId="2" applyNumberFormat="1" applyFont="1" applyFill="1" applyBorder="1" applyAlignment="1" applyProtection="1">
      <alignment horizontal="left" vertical="top"/>
      <protection locked="0"/>
    </xf>
    <xf numFmtId="3" fontId="37" fillId="10" borderId="107" xfId="2" applyNumberFormat="1" applyFont="1" applyFill="1" applyBorder="1" applyAlignment="1" applyProtection="1">
      <alignment horizontal="left" vertical="top"/>
      <protection locked="0"/>
    </xf>
    <xf numFmtId="3" fontId="36" fillId="10" borderId="31" xfId="2" applyNumberFormat="1" applyFont="1" applyFill="1" applyBorder="1" applyAlignment="1" applyProtection="1">
      <alignment horizontal="left" vertical="top"/>
      <protection locked="0"/>
    </xf>
    <xf numFmtId="0" fontId="37" fillId="0" borderId="29" xfId="2" applyFont="1" applyFill="1" applyBorder="1" applyAlignment="1">
      <alignment horizontal="left" vertical="top" wrapText="1"/>
    </xf>
    <xf numFmtId="0" fontId="37" fillId="0" borderId="2" xfId="0" applyFont="1" applyFill="1" applyBorder="1" applyAlignment="1">
      <alignment horizontal="left" vertical="top" wrapText="1" indent="1"/>
    </xf>
    <xf numFmtId="3" fontId="36" fillId="7" borderId="1" xfId="2" applyNumberFormat="1" applyFont="1" applyFill="1" applyBorder="1" applyAlignment="1" applyProtection="1">
      <alignment horizontal="right" vertical="top"/>
      <protection locked="0"/>
    </xf>
    <xf numFmtId="16" fontId="21" fillId="2" borderId="0" xfId="2" applyNumberFormat="1" applyFont="1" applyFill="1" applyAlignment="1">
      <alignment horizontal="left" vertical="center"/>
    </xf>
    <xf numFmtId="3" fontId="21" fillId="7" borderId="20" xfId="2" applyNumberFormat="1" applyFont="1" applyFill="1" applyBorder="1" applyAlignment="1" applyProtection="1">
      <alignment horizontal="right" vertical="top"/>
      <protection locked="0"/>
    </xf>
    <xf numFmtId="3" fontId="21" fillId="7" borderId="30" xfId="2" applyNumberFormat="1" applyFont="1" applyFill="1" applyBorder="1" applyAlignment="1" applyProtection="1">
      <alignment horizontal="right" vertical="top"/>
      <protection locked="0"/>
    </xf>
    <xf numFmtId="3" fontId="21" fillId="5" borderId="63" xfId="2" applyNumberFormat="1" applyFont="1" applyFill="1" applyBorder="1" applyAlignment="1" applyProtection="1">
      <alignment horizontal="right" vertical="top"/>
      <protection locked="0"/>
    </xf>
    <xf numFmtId="3" fontId="21" fillId="6" borderId="27" xfId="2" applyNumberFormat="1" applyFont="1" applyFill="1" applyBorder="1" applyAlignment="1" applyProtection="1">
      <alignment horizontal="right" vertical="top"/>
      <protection locked="0"/>
    </xf>
    <xf numFmtId="3" fontId="36" fillId="5" borderId="66" xfId="2" applyNumberFormat="1" applyFont="1" applyFill="1" applyBorder="1" applyAlignment="1" applyProtection="1">
      <alignment horizontal="right" vertical="top"/>
      <protection locked="0"/>
    </xf>
    <xf numFmtId="0" fontId="38" fillId="3" borderId="30" xfId="0" applyFont="1" applyFill="1" applyBorder="1" applyAlignment="1">
      <alignment horizontal="left" vertical="top" indent="2"/>
    </xf>
    <xf numFmtId="0" fontId="64" fillId="2" borderId="0" xfId="2" applyFont="1" applyFill="1"/>
    <xf numFmtId="0" fontId="21" fillId="7" borderId="0" xfId="2" applyFont="1" applyFill="1" applyBorder="1" applyAlignment="1">
      <alignment vertical="top" wrapText="1"/>
    </xf>
    <xf numFmtId="0" fontId="21" fillId="0" borderId="0" xfId="2" applyAlignment="1">
      <alignment vertical="top"/>
    </xf>
    <xf numFmtId="0" fontId="21" fillId="6" borderId="0" xfId="2" applyFont="1" applyFill="1" applyAlignment="1">
      <alignment horizontal="center" vertical="top"/>
    </xf>
    <xf numFmtId="0" fontId="21" fillId="0" borderId="0" xfId="0" applyFont="1" applyAlignment="1">
      <alignment horizontal="center" vertical="top"/>
    </xf>
    <xf numFmtId="3" fontId="21" fillId="16" borderId="13" xfId="2" applyNumberFormat="1" applyFont="1" applyFill="1" applyBorder="1" applyAlignment="1" applyProtection="1">
      <alignment horizontal="right" vertical="top"/>
      <protection locked="0"/>
    </xf>
    <xf numFmtId="3" fontId="21" fillId="16" borderId="13" xfId="2" applyNumberFormat="1" applyFont="1" applyFill="1" applyBorder="1" applyAlignment="1" applyProtection="1">
      <alignment horizontal="right"/>
      <protection locked="0"/>
    </xf>
    <xf numFmtId="0" fontId="21" fillId="2" borderId="0" xfId="2" applyFill="1" applyBorder="1" applyAlignment="1">
      <alignment horizontal="left" vertical="top"/>
    </xf>
    <xf numFmtId="0" fontId="21" fillId="8" borderId="0" xfId="0" applyNumberFormat="1" applyFont="1" applyFill="1" applyBorder="1" applyAlignment="1">
      <alignment horizontal="left" vertical="top"/>
    </xf>
    <xf numFmtId="0" fontId="21" fillId="0" borderId="0" xfId="0" applyFont="1" applyFill="1" applyAlignment="1">
      <alignment vertical="top"/>
    </xf>
    <xf numFmtId="0" fontId="37" fillId="0" borderId="6" xfId="17" applyFont="1" applyBorder="1" applyAlignment="1">
      <alignment vertical="center" wrapText="1"/>
    </xf>
    <xf numFmtId="0" fontId="21" fillId="0" borderId="0" xfId="2" applyAlignment="1">
      <alignment vertical="top"/>
    </xf>
    <xf numFmtId="0" fontId="21" fillId="0" borderId="0" xfId="2" applyFont="1" applyFill="1" applyBorder="1" applyAlignment="1">
      <alignment vertical="top" wrapText="1"/>
    </xf>
    <xf numFmtId="3" fontId="37" fillId="6" borderId="73" xfId="2" applyNumberFormat="1" applyFont="1" applyFill="1" applyBorder="1" applyAlignment="1" applyProtection="1">
      <alignment horizontal="right" vertical="top"/>
      <protection locked="0"/>
    </xf>
    <xf numFmtId="3" fontId="37" fillId="6" borderId="20" xfId="2" applyNumberFormat="1" applyFont="1" applyFill="1" applyBorder="1" applyAlignment="1" applyProtection="1">
      <alignment horizontal="right" vertical="top"/>
      <protection locked="0"/>
    </xf>
    <xf numFmtId="0" fontId="58" fillId="6" borderId="0" xfId="0" applyFont="1" applyFill="1" applyAlignment="1">
      <alignment horizontal="left" vertical="center"/>
    </xf>
    <xf numFmtId="0" fontId="21" fillId="18" borderId="0" xfId="2" applyFont="1" applyFill="1" applyAlignment="1">
      <alignment horizontal="left" vertical="center"/>
    </xf>
    <xf numFmtId="0" fontId="84" fillId="11" borderId="123" xfId="17" applyFont="1" applyFill="1" applyBorder="1" applyAlignment="1">
      <alignment horizontal="right" vertical="center"/>
    </xf>
    <xf numFmtId="0" fontId="64" fillId="2" borderId="0" xfId="2" applyFont="1" applyFill="1" applyBorder="1" applyAlignment="1">
      <alignment vertical="top"/>
    </xf>
    <xf numFmtId="0" fontId="21" fillId="3" borderId="25" xfId="2" applyFont="1" applyFill="1" applyBorder="1" applyAlignment="1">
      <alignment horizontal="left" vertical="top" wrapText="1" indent="2"/>
    </xf>
    <xf numFmtId="3" fontId="36" fillId="0" borderId="1" xfId="2" applyNumberFormat="1" applyFont="1" applyFill="1" applyBorder="1" applyAlignment="1" applyProtection="1">
      <alignment horizontal="right" vertical="top"/>
      <protection locked="0"/>
    </xf>
    <xf numFmtId="0" fontId="34" fillId="8" borderId="0" xfId="2" applyFont="1" applyFill="1" applyBorder="1" applyAlignment="1">
      <alignment horizontal="left" vertical="top" wrapText="1"/>
    </xf>
    <xf numFmtId="4" fontId="63" fillId="0" borderId="0" xfId="28" applyNumberFormat="1" applyFont="1"/>
    <xf numFmtId="3" fontId="37" fillId="0" borderId="59" xfId="2" applyNumberFormat="1" applyFont="1" applyFill="1" applyBorder="1" applyAlignment="1" applyProtection="1">
      <alignment horizontal="right" vertical="top"/>
      <protection locked="0"/>
    </xf>
    <xf numFmtId="3" fontId="37" fillId="0" borderId="99" xfId="2" applyNumberFormat="1" applyFont="1" applyFill="1" applyBorder="1" applyAlignment="1" applyProtection="1">
      <alignment horizontal="right" vertical="top"/>
      <protection locked="0"/>
    </xf>
    <xf numFmtId="0" fontId="37" fillId="0" borderId="60" xfId="2" applyFont="1" applyFill="1" applyBorder="1" applyAlignment="1">
      <alignment horizontal="right" vertical="top"/>
    </xf>
    <xf numFmtId="4" fontId="86" fillId="0" borderId="0" xfId="28" applyNumberFormat="1" applyFont="1"/>
    <xf numFmtId="0" fontId="36" fillId="0" borderId="2" xfId="2" applyFont="1" applyFill="1" applyBorder="1" applyAlignment="1">
      <alignment horizontal="left" vertical="top"/>
    </xf>
    <xf numFmtId="0" fontId="37" fillId="0" borderId="2" xfId="2" applyFont="1" applyFill="1" applyBorder="1" applyAlignment="1">
      <alignment horizontal="left" vertical="top" indent="1"/>
    </xf>
    <xf numFmtId="0" fontId="21" fillId="0" borderId="2" xfId="2" applyFont="1" applyFill="1" applyBorder="1" applyAlignment="1">
      <alignment horizontal="left" vertical="top" indent="1"/>
    </xf>
    <xf numFmtId="0" fontId="21" fillId="0" borderId="60" xfId="2" applyFill="1" applyBorder="1" applyAlignment="1">
      <alignment horizontal="right" vertical="top"/>
    </xf>
    <xf numFmtId="0" fontId="38" fillId="0" borderId="2" xfId="2" applyFont="1" applyFill="1" applyBorder="1" applyAlignment="1">
      <alignment horizontal="left" vertical="top"/>
    </xf>
    <xf numFmtId="3" fontId="21" fillId="0" borderId="59" xfId="2" applyNumberFormat="1" applyFont="1" applyFill="1" applyBorder="1" applyAlignment="1" applyProtection="1">
      <alignment horizontal="right" vertical="top"/>
      <protection locked="0"/>
    </xf>
    <xf numFmtId="3" fontId="21" fillId="0" borderId="99" xfId="2" applyNumberFormat="1" applyFont="1" applyFill="1" applyBorder="1" applyAlignment="1" applyProtection="1">
      <alignment horizontal="right" vertical="top"/>
      <protection locked="0"/>
    </xf>
    <xf numFmtId="0" fontId="21" fillId="0" borderId="60" xfId="2" applyFont="1" applyFill="1" applyBorder="1" applyAlignment="1">
      <alignment horizontal="right" vertical="top"/>
    </xf>
    <xf numFmtId="0" fontId="38" fillId="0" borderId="6" xfId="2" applyFont="1" applyFill="1" applyBorder="1" applyAlignment="1">
      <alignment horizontal="left" vertical="top" wrapText="1" indent="1"/>
    </xf>
    <xf numFmtId="3" fontId="21" fillId="4" borderId="1" xfId="2" applyNumberFormat="1" applyFont="1" applyFill="1" applyBorder="1" applyAlignment="1" applyProtection="1">
      <alignment horizontal="right" vertical="top"/>
    </xf>
    <xf numFmtId="0" fontId="34" fillId="8" borderId="10" xfId="2" applyFont="1" applyFill="1" applyBorder="1" applyAlignment="1">
      <alignment horizontal="left" vertical="top" wrapText="1"/>
    </xf>
    <xf numFmtId="3" fontId="37" fillId="8" borderId="11" xfId="2" applyNumberFormat="1" applyFont="1" applyFill="1" applyBorder="1" applyAlignment="1">
      <alignment horizontal="center" vertical="top" wrapText="1"/>
    </xf>
    <xf numFmtId="3" fontId="37" fillId="8" borderId="12" xfId="2" applyNumberFormat="1" applyFont="1" applyFill="1" applyBorder="1" applyAlignment="1">
      <alignment horizontal="center" vertical="top" wrapText="1"/>
    </xf>
    <xf numFmtId="0" fontId="34" fillId="0" borderId="10" xfId="2" applyFont="1" applyBorder="1" applyAlignment="1">
      <alignment horizontal="left" vertical="top"/>
    </xf>
    <xf numFmtId="3" fontId="37" fillId="0" borderId="11" xfId="2" applyNumberFormat="1" applyFont="1" applyBorder="1" applyAlignment="1">
      <alignment horizontal="center" vertical="top"/>
    </xf>
    <xf numFmtId="3" fontId="37" fillId="0" borderId="12" xfId="2" applyNumberFormat="1" applyFont="1" applyBorder="1" applyAlignment="1">
      <alignment horizontal="center" vertical="top"/>
    </xf>
    <xf numFmtId="0" fontId="21" fillId="0" borderId="17" xfId="2" applyBorder="1" applyAlignment="1">
      <alignment horizontal="left" vertical="top" wrapText="1"/>
    </xf>
    <xf numFmtId="3" fontId="38" fillId="0" borderId="22" xfId="2" applyNumberFormat="1" applyFont="1" applyBorder="1" applyAlignment="1" applyProtection="1">
      <alignment horizontal="right" vertical="top"/>
      <protection locked="0"/>
    </xf>
    <xf numFmtId="3" fontId="38" fillId="0" borderId="23" xfId="2" applyNumberFormat="1" applyFont="1" applyBorder="1" applyAlignment="1" applyProtection="1">
      <alignment horizontal="right" vertical="top"/>
      <protection locked="0"/>
    </xf>
    <xf numFmtId="3" fontId="38" fillId="5" borderId="24" xfId="2" applyNumberFormat="1" applyFont="1" applyFill="1" applyBorder="1" applyAlignment="1" applyProtection="1">
      <alignment horizontal="right" vertical="top"/>
      <protection locked="0"/>
    </xf>
    <xf numFmtId="0" fontId="21" fillId="0" borderId="14" xfId="2" applyBorder="1" applyAlignment="1">
      <alignment horizontal="left" vertical="top"/>
    </xf>
    <xf numFmtId="3" fontId="21" fillId="0" borderId="32" xfId="2" applyNumberFormat="1" applyBorder="1" applyAlignment="1" applyProtection="1">
      <alignment horizontal="right" vertical="top"/>
      <protection locked="0"/>
    </xf>
    <xf numFmtId="3" fontId="21" fillId="0" borderId="33" xfId="2" applyNumberFormat="1" applyBorder="1" applyAlignment="1" applyProtection="1">
      <alignment horizontal="right" vertical="top"/>
      <protection locked="0"/>
    </xf>
    <xf numFmtId="0" fontId="21" fillId="0" borderId="25" xfId="2" applyBorder="1" applyAlignment="1">
      <alignment horizontal="left" vertical="top"/>
    </xf>
    <xf numFmtId="3" fontId="21" fillId="0" borderId="26" xfId="2" applyNumberFormat="1" applyBorder="1" applyAlignment="1" applyProtection="1">
      <alignment horizontal="right" vertical="top"/>
      <protection locked="0"/>
    </xf>
    <xf numFmtId="3" fontId="21" fillId="0" borderId="27" xfId="2" applyNumberFormat="1" applyBorder="1" applyAlignment="1" applyProtection="1">
      <alignment horizontal="right" vertical="top"/>
      <protection locked="0"/>
    </xf>
    <xf numFmtId="0" fontId="21" fillId="7" borderId="0" xfId="0" applyNumberFormat="1" applyFont="1" applyFill="1" applyBorder="1" applyAlignment="1" applyProtection="1">
      <alignment horizontal="left" vertical="top"/>
      <protection locked="0"/>
    </xf>
    <xf numFmtId="0" fontId="62" fillId="0" borderId="0" xfId="0" applyFont="1" applyFill="1" applyBorder="1" applyAlignment="1">
      <alignment horizontal="center" vertical="top"/>
    </xf>
    <xf numFmtId="0" fontId="37" fillId="7" borderId="10" xfId="2" applyFont="1" applyFill="1" applyBorder="1" applyAlignment="1">
      <alignment vertical="top"/>
    </xf>
    <xf numFmtId="0" fontId="37" fillId="0" borderId="10" xfId="2" applyFont="1" applyFill="1" applyBorder="1" applyAlignment="1">
      <alignment vertical="top"/>
    </xf>
    <xf numFmtId="0" fontId="21" fillId="0" borderId="0" xfId="2" applyAlignment="1">
      <alignment vertical="top"/>
    </xf>
    <xf numFmtId="3" fontId="38" fillId="3" borderId="59" xfId="2" applyNumberFormat="1" applyFont="1" applyFill="1" applyBorder="1" applyAlignment="1" applyProtection="1">
      <alignment horizontal="right" vertical="top"/>
      <protection locked="0"/>
    </xf>
    <xf numFmtId="0" fontId="21" fillId="18" borderId="0" xfId="0" applyNumberFormat="1" applyFont="1" applyFill="1" applyBorder="1" applyAlignment="1">
      <alignment horizontal="left" vertical="top"/>
    </xf>
    <xf numFmtId="0" fontId="76" fillId="0" borderId="0" xfId="0" applyFont="1"/>
    <xf numFmtId="0" fontId="21" fillId="3" borderId="59" xfId="2" applyFont="1" applyFill="1" applyBorder="1" applyAlignment="1">
      <alignment vertical="top" wrapText="1"/>
    </xf>
    <xf numFmtId="0" fontId="21" fillId="3" borderId="11" xfId="2" applyFont="1" applyFill="1" applyBorder="1" applyAlignment="1">
      <alignment vertical="top" wrapText="1"/>
    </xf>
    <xf numFmtId="3" fontId="93" fillId="11" borderId="6" xfId="2" applyNumberFormat="1" applyFont="1" applyFill="1" applyBorder="1" applyAlignment="1">
      <alignment vertical="top"/>
    </xf>
    <xf numFmtId="0" fontId="21" fillId="7" borderId="2" xfId="2" applyFill="1" applyBorder="1"/>
    <xf numFmtId="0" fontId="21" fillId="7" borderId="17" xfId="2" applyFill="1" applyBorder="1"/>
    <xf numFmtId="16" fontId="99" fillId="0" borderId="0" xfId="0" applyNumberFormat="1" applyFont="1" applyAlignment="1">
      <alignment vertical="center"/>
    </xf>
    <xf numFmtId="0" fontId="58" fillId="0" borderId="0" xfId="0" applyFont="1" applyAlignment="1">
      <alignment vertical="center"/>
    </xf>
    <xf numFmtId="0" fontId="21" fillId="19" borderId="0" xfId="2" applyFont="1" applyFill="1" applyAlignment="1">
      <alignment horizontal="left"/>
    </xf>
    <xf numFmtId="0" fontId="22" fillId="2" borderId="0" xfId="2" applyFont="1" applyFill="1" applyAlignment="1">
      <alignment horizontal="center" vertical="top"/>
    </xf>
    <xf numFmtId="0" fontId="21" fillId="6" borderId="0" xfId="2" applyFont="1" applyFill="1" applyAlignment="1">
      <alignment horizontal="left" vertical="top"/>
    </xf>
    <xf numFmtId="3" fontId="37" fillId="0" borderId="6" xfId="2" applyNumberFormat="1" applyFont="1" applyFill="1" applyBorder="1" applyAlignment="1" applyProtection="1">
      <alignment horizontal="left" vertical="top"/>
      <protection locked="0"/>
    </xf>
    <xf numFmtId="0" fontId="37" fillId="7" borderId="0" xfId="0" applyNumberFormat="1" applyFont="1" applyFill="1" applyBorder="1" applyAlignment="1" applyProtection="1">
      <alignment horizontal="left" vertical="top"/>
      <protection locked="0"/>
    </xf>
    <xf numFmtId="0" fontId="21" fillId="7" borderId="0" xfId="2" applyFont="1" applyFill="1" applyAlignment="1">
      <alignment horizontal="left" vertical="top"/>
    </xf>
    <xf numFmtId="0" fontId="21" fillId="0" borderId="0" xfId="2" applyFont="1" applyBorder="1" applyAlignment="1">
      <alignment horizontal="left" vertical="top" wrapText="1"/>
    </xf>
    <xf numFmtId="0" fontId="37" fillId="6" borderId="0" xfId="2" applyFont="1" applyFill="1" applyAlignment="1">
      <alignment horizontal="left" vertical="center"/>
    </xf>
    <xf numFmtId="0" fontId="21" fillId="6" borderId="0" xfId="2" applyFont="1" applyFill="1" applyAlignment="1">
      <alignment horizontal="left" vertical="center"/>
    </xf>
    <xf numFmtId="0" fontId="21" fillId="18" borderId="0" xfId="2" applyFont="1" applyFill="1" applyAlignment="1">
      <alignment vertical="top"/>
    </xf>
    <xf numFmtId="0" fontId="37" fillId="6" borderId="0" xfId="2" applyFont="1" applyFill="1" applyAlignment="1">
      <alignment horizontal="left" vertical="top"/>
    </xf>
    <xf numFmtId="0" fontId="21" fillId="19" borderId="0" xfId="2" applyFont="1" applyFill="1" applyAlignment="1">
      <alignment vertical="top"/>
    </xf>
    <xf numFmtId="0" fontId="21" fillId="0" borderId="0" xfId="2" applyFont="1" applyFill="1"/>
    <xf numFmtId="0" fontId="21" fillId="18" borderId="0" xfId="2" applyFont="1" applyFill="1" applyAlignment="1">
      <alignment horizontal="left"/>
    </xf>
    <xf numFmtId="0" fontId="58" fillId="0" borderId="0" xfId="2" applyFont="1"/>
    <xf numFmtId="0" fontId="21" fillId="0" borderId="0" xfId="2" applyFont="1" applyAlignment="1"/>
    <xf numFmtId="0" fontId="21" fillId="7" borderId="0" xfId="2" applyFont="1" applyFill="1" applyAlignment="1">
      <alignment horizontal="center" vertical="top"/>
    </xf>
    <xf numFmtId="0" fontId="21" fillId="0" borderId="0" xfId="2" applyFont="1" applyAlignment="1">
      <alignment horizontal="center" vertical="top"/>
    </xf>
    <xf numFmtId="0" fontId="64" fillId="6" borderId="0" xfId="2" applyFont="1" applyFill="1" applyAlignment="1">
      <alignment vertical="top"/>
    </xf>
    <xf numFmtId="3" fontId="37" fillId="7" borderId="21" xfId="2" applyNumberFormat="1" applyFont="1" applyFill="1" applyBorder="1" applyAlignment="1" applyProtection="1">
      <alignment horizontal="right" vertical="top"/>
      <protection locked="0"/>
    </xf>
    <xf numFmtId="0" fontId="79" fillId="0" borderId="0" xfId="0" applyFont="1"/>
    <xf numFmtId="0" fontId="58" fillId="0" borderId="0" xfId="0" applyFont="1"/>
    <xf numFmtId="0" fontId="31" fillId="2" borderId="2" xfId="0" applyFont="1" applyFill="1" applyBorder="1" applyAlignment="1" applyProtection="1">
      <alignment vertical="top"/>
    </xf>
    <xf numFmtId="0" fontId="0" fillId="2" borderId="0" xfId="0" applyFill="1" applyBorder="1" applyAlignment="1">
      <alignment vertical="top"/>
    </xf>
    <xf numFmtId="0" fontId="31" fillId="2" borderId="17" xfId="0" applyFont="1" applyFill="1" applyBorder="1" applyAlignment="1" applyProtection="1">
      <alignment vertical="top"/>
    </xf>
    <xf numFmtId="0" fontId="108" fillId="2" borderId="0" xfId="2" applyFont="1" applyFill="1" applyBorder="1" applyAlignment="1">
      <alignment vertical="top"/>
    </xf>
    <xf numFmtId="0" fontId="108" fillId="2" borderId="0" xfId="0" applyFont="1" applyFill="1"/>
    <xf numFmtId="0" fontId="21" fillId="0" borderId="17" xfId="2" applyBorder="1" applyAlignment="1">
      <alignment horizontal="left" vertical="top" wrapText="1" indent="2"/>
    </xf>
    <xf numFmtId="0" fontId="21" fillId="0" borderId="67" xfId="2" applyFill="1" applyBorder="1" applyAlignment="1">
      <alignment vertical="top"/>
    </xf>
    <xf numFmtId="0" fontId="21" fillId="0" borderId="55" xfId="2" applyFill="1" applyBorder="1" applyAlignment="1">
      <alignment vertical="top"/>
    </xf>
    <xf numFmtId="0" fontId="64" fillId="6" borderId="0" xfId="2" applyFont="1" applyFill="1" applyAlignment="1">
      <alignment horizontal="left" vertical="top"/>
    </xf>
    <xf numFmtId="0" fontId="21" fillId="7" borderId="0" xfId="2" applyFill="1" applyBorder="1" applyAlignment="1">
      <alignment horizontal="left" wrapText="1"/>
    </xf>
    <xf numFmtId="0" fontId="21" fillId="7" borderId="1" xfId="2" applyFill="1" applyBorder="1" applyAlignment="1">
      <alignment horizontal="left" wrapText="1"/>
    </xf>
    <xf numFmtId="0" fontId="105" fillId="0" borderId="0" xfId="0" applyFont="1" applyFill="1" applyBorder="1" applyAlignment="1">
      <alignment vertical="center" wrapText="1"/>
    </xf>
    <xf numFmtId="0" fontId="106" fillId="0" borderId="0" xfId="0" applyFont="1" applyFill="1" applyBorder="1" applyAlignment="1">
      <alignment horizontal="center" vertical="center" wrapText="1"/>
    </xf>
    <xf numFmtId="0" fontId="21" fillId="0" borderId="0" xfId="2" applyFill="1" applyBorder="1" applyAlignment="1">
      <alignment horizontal="left" wrapText="1"/>
    </xf>
    <xf numFmtId="0" fontId="107" fillId="0" borderId="0" xfId="0" applyFont="1" applyFill="1" applyBorder="1" applyAlignment="1">
      <alignment vertical="center" wrapText="1"/>
    </xf>
    <xf numFmtId="0" fontId="24" fillId="0" borderId="0" xfId="0" applyFont="1" applyFill="1" applyBorder="1" applyAlignment="1">
      <alignment vertical="center" wrapText="1"/>
    </xf>
    <xf numFmtId="0" fontId="24" fillId="0" borderId="0" xfId="0" applyFont="1" applyFill="1" applyBorder="1" applyAlignment="1">
      <alignment horizontal="left" vertical="center" wrapText="1"/>
    </xf>
    <xf numFmtId="0" fontId="21" fillId="0" borderId="0" xfId="2" applyFill="1" applyBorder="1"/>
    <xf numFmtId="0" fontId="37" fillId="7" borderId="0" xfId="2" applyFont="1" applyFill="1" applyBorder="1" applyAlignment="1">
      <alignment horizontal="center" wrapText="1"/>
    </xf>
    <xf numFmtId="0" fontId="31" fillId="2" borderId="4" xfId="0" applyFont="1" applyFill="1" applyBorder="1" applyAlignment="1" applyProtection="1">
      <alignment horizontal="left" vertical="top"/>
    </xf>
    <xf numFmtId="0" fontId="26" fillId="0" borderId="0" xfId="1"/>
    <xf numFmtId="0" fontId="23" fillId="2" borderId="4" xfId="0" applyFont="1" applyFill="1" applyBorder="1" applyAlignment="1" applyProtection="1">
      <alignment horizontal="left" vertical="top"/>
    </xf>
    <xf numFmtId="0" fontId="31" fillId="0" borderId="4" xfId="0" applyFont="1" applyFill="1" applyBorder="1" applyAlignment="1" applyProtection="1">
      <alignment vertical="top"/>
    </xf>
    <xf numFmtId="0" fontId="0" fillId="0" borderId="3" xfId="0" applyFill="1" applyBorder="1" applyAlignment="1">
      <alignment vertical="top"/>
    </xf>
    <xf numFmtId="0" fontId="21" fillId="2" borderId="0" xfId="0" applyFont="1" applyFill="1" applyBorder="1" applyAlignment="1">
      <alignment horizontal="center" vertical="top"/>
    </xf>
    <xf numFmtId="0" fontId="109" fillId="0" borderId="0" xfId="0" applyFont="1" applyBorder="1"/>
    <xf numFmtId="0" fontId="21" fillId="0" borderId="95" xfId="2" applyFont="1" applyFill="1" applyBorder="1" applyAlignment="1">
      <alignment horizontal="left" vertical="top" wrapText="1"/>
    </xf>
    <xf numFmtId="0" fontId="21" fillId="19" borderId="0" xfId="2" applyFont="1" applyFill="1" applyAlignment="1">
      <alignment horizontal="left" vertical="top"/>
    </xf>
    <xf numFmtId="0" fontId="21" fillId="20" borderId="0" xfId="2" applyFont="1" applyFill="1" applyAlignment="1">
      <alignment vertical="top"/>
    </xf>
    <xf numFmtId="0" fontId="64" fillId="8" borderId="0" xfId="0" applyNumberFormat="1" applyFont="1" applyFill="1" applyBorder="1" applyAlignment="1">
      <alignment horizontal="left" vertical="top"/>
    </xf>
    <xf numFmtId="0" fontId="108" fillId="19" borderId="0" xfId="0" applyFont="1" applyFill="1" applyBorder="1" applyAlignment="1">
      <alignment vertical="top"/>
    </xf>
    <xf numFmtId="0" fontId="21" fillId="0" borderId="12" xfId="2" applyFill="1" applyBorder="1" applyAlignment="1">
      <alignment vertical="top"/>
    </xf>
    <xf numFmtId="0" fontId="21" fillId="0" borderId="11" xfId="2" applyFill="1" applyBorder="1" applyAlignment="1">
      <alignment vertical="top"/>
    </xf>
    <xf numFmtId="0" fontId="111" fillId="0" borderId="0" xfId="0" applyFont="1"/>
    <xf numFmtId="0" fontId="21" fillId="0" borderId="0" xfId="0" applyNumberFormat="1" applyFont="1" applyFill="1" applyBorder="1" applyAlignment="1" applyProtection="1">
      <alignment horizontal="left" vertical="top" wrapText="1"/>
      <protection locked="0"/>
    </xf>
    <xf numFmtId="0" fontId="21" fillId="3" borderId="10" xfId="2" applyFont="1" applyFill="1" applyBorder="1" applyAlignment="1">
      <alignment horizontal="left" vertical="top" wrapText="1" indent="2"/>
    </xf>
    <xf numFmtId="0" fontId="64" fillId="7" borderId="0" xfId="2" applyFont="1" applyFill="1" applyAlignment="1">
      <alignment vertical="top"/>
    </xf>
    <xf numFmtId="0" fontId="21" fillId="16" borderId="29" xfId="2" applyFont="1" applyFill="1" applyBorder="1" applyAlignment="1">
      <alignment vertical="top" wrapText="1"/>
    </xf>
    <xf numFmtId="3" fontId="21" fillId="16" borderId="87" xfId="2" applyNumberFormat="1" applyFont="1" applyFill="1" applyBorder="1" applyAlignment="1" applyProtection="1">
      <alignment horizontal="right" vertical="top"/>
      <protection locked="0"/>
    </xf>
    <xf numFmtId="3" fontId="21" fillId="16" borderId="31" xfId="2" applyNumberFormat="1" applyFont="1" applyFill="1" applyBorder="1" applyAlignment="1" applyProtection="1">
      <alignment horizontal="right" vertical="top"/>
      <protection locked="0"/>
    </xf>
    <xf numFmtId="3" fontId="37" fillId="16" borderId="29" xfId="2" applyNumberFormat="1" applyFont="1" applyFill="1" applyBorder="1" applyAlignment="1" applyProtection="1">
      <alignment horizontal="right" vertical="top"/>
      <protection locked="0"/>
    </xf>
    <xf numFmtId="3" fontId="21" fillId="16" borderId="32" xfId="2" applyNumberFormat="1" applyFill="1" applyBorder="1" applyAlignment="1" applyProtection="1">
      <alignment horizontal="right" vertical="top"/>
      <protection locked="0"/>
    </xf>
    <xf numFmtId="3" fontId="21" fillId="16" borderId="33" xfId="2" applyNumberFormat="1" applyFill="1" applyBorder="1" applyAlignment="1" applyProtection="1">
      <alignment horizontal="right" vertical="top"/>
      <protection locked="0"/>
    </xf>
    <xf numFmtId="3" fontId="38" fillId="16" borderId="24" xfId="2" applyNumberFormat="1" applyFont="1" applyFill="1" applyBorder="1" applyAlignment="1" applyProtection="1">
      <alignment horizontal="right" vertical="top"/>
      <protection locked="0"/>
    </xf>
    <xf numFmtId="0" fontId="37" fillId="0" borderId="0" xfId="2" applyFont="1" applyFill="1" applyBorder="1" applyAlignment="1">
      <alignment vertical="top"/>
    </xf>
    <xf numFmtId="0" fontId="21" fillId="0" borderId="0" xfId="2" applyAlignment="1">
      <alignment vertical="top"/>
    </xf>
    <xf numFmtId="3" fontId="21" fillId="16" borderId="32" xfId="2" applyNumberFormat="1" applyFill="1" applyBorder="1" applyAlignment="1" applyProtection="1">
      <alignment horizontal="left" vertical="top"/>
      <protection locked="0"/>
    </xf>
    <xf numFmtId="0" fontId="38" fillId="6" borderId="4" xfId="2" applyFont="1" applyFill="1" applyBorder="1" applyAlignment="1">
      <alignment horizontal="left" vertical="top" indent="2"/>
    </xf>
    <xf numFmtId="3" fontId="21" fillId="6" borderId="3" xfId="2" applyNumberFormat="1" applyFont="1" applyFill="1" applyBorder="1" applyAlignment="1">
      <alignment horizontal="center" vertical="top"/>
    </xf>
    <xf numFmtId="3" fontId="21" fillId="6" borderId="5" xfId="2" applyNumberFormat="1" applyFont="1" applyFill="1" applyBorder="1" applyAlignment="1">
      <alignment horizontal="right" vertical="top"/>
    </xf>
    <xf numFmtId="0" fontId="38" fillId="16" borderId="2" xfId="2" applyFont="1" applyFill="1" applyBorder="1" applyAlignment="1">
      <alignment horizontal="left" vertical="top" wrapText="1" indent="2"/>
    </xf>
    <xf numFmtId="3" fontId="21" fillId="16" borderId="3" xfId="2" applyNumberFormat="1" applyFont="1" applyFill="1" applyBorder="1" applyAlignment="1" applyProtection="1">
      <alignment horizontal="right" vertical="top"/>
      <protection locked="0"/>
    </xf>
    <xf numFmtId="3" fontId="21" fillId="16" borderId="30" xfId="2" applyNumberFormat="1" applyFont="1" applyFill="1" applyBorder="1" applyAlignment="1" applyProtection="1">
      <alignment horizontal="right" vertical="top"/>
    </xf>
    <xf numFmtId="3" fontId="38" fillId="16" borderId="69" xfId="2" applyNumberFormat="1" applyFont="1" applyFill="1" applyBorder="1" applyAlignment="1" applyProtection="1">
      <alignment horizontal="right" vertical="top"/>
      <protection locked="0"/>
    </xf>
    <xf numFmtId="0" fontId="21" fillId="2" borderId="0" xfId="2" applyFill="1" applyAlignment="1">
      <alignment horizontal="right" vertical="top"/>
    </xf>
    <xf numFmtId="0" fontId="32" fillId="7" borderId="0" xfId="0" applyFont="1" applyFill="1" applyBorder="1" applyAlignment="1">
      <alignment horizontal="left"/>
    </xf>
    <xf numFmtId="0" fontId="32" fillId="7" borderId="0" xfId="0" applyFont="1" applyFill="1" applyBorder="1" applyAlignment="1">
      <alignment horizontal="left" wrapText="1"/>
    </xf>
    <xf numFmtId="0" fontId="32" fillId="7" borderId="0" xfId="0" applyFont="1" applyFill="1" applyBorder="1" applyAlignment="1">
      <alignment horizontal="left" vertical="center" wrapText="1"/>
    </xf>
    <xf numFmtId="0" fontId="23" fillId="3" borderId="0" xfId="0" applyFont="1" applyFill="1" applyBorder="1" applyAlignment="1">
      <alignment horizontal="left"/>
    </xf>
    <xf numFmtId="0" fontId="28" fillId="0" borderId="0" xfId="0" applyFont="1" applyFill="1" applyBorder="1" applyAlignment="1">
      <alignment horizontal="center"/>
    </xf>
    <xf numFmtId="0" fontId="68" fillId="7" borderId="0" xfId="0" applyFont="1" applyFill="1" applyBorder="1" applyAlignment="1">
      <alignment horizontal="left" wrapText="1"/>
    </xf>
    <xf numFmtId="0" fontId="41" fillId="7" borderId="0" xfId="0" applyFont="1" applyFill="1" applyBorder="1" applyAlignment="1">
      <alignment horizontal="left" vertical="top" wrapText="1"/>
    </xf>
    <xf numFmtId="0" fontId="21" fillId="7" borderId="0" xfId="0" applyFont="1" applyFill="1" applyAlignment="1">
      <alignment vertical="top" wrapText="1"/>
    </xf>
    <xf numFmtId="0" fontId="28" fillId="7" borderId="0" xfId="0" applyFont="1" applyFill="1" applyBorder="1" applyAlignment="1">
      <alignment horizontal="center"/>
    </xf>
    <xf numFmtId="0" fontId="0" fillId="7" borderId="0" xfId="0" applyFill="1" applyAlignment="1">
      <alignment horizontal="center"/>
    </xf>
    <xf numFmtId="0" fontId="53" fillId="0" borderId="0" xfId="0" applyFont="1" applyFill="1" applyBorder="1" applyAlignment="1">
      <alignment horizontal="center" vertical="center"/>
    </xf>
    <xf numFmtId="0" fontId="27" fillId="0" borderId="2" xfId="0" applyFont="1" applyFill="1" applyBorder="1" applyAlignment="1">
      <alignment horizontal="left" wrapText="1"/>
    </xf>
    <xf numFmtId="0" fontId="27" fillId="0" borderId="0" xfId="0" applyFont="1" applyFill="1" applyBorder="1" applyAlignment="1">
      <alignment horizontal="left" wrapText="1"/>
    </xf>
    <xf numFmtId="0" fontId="21" fillId="0" borderId="0" xfId="0" applyFont="1" applyFill="1" applyBorder="1" applyAlignment="1">
      <alignment horizontal="left" wrapText="1"/>
    </xf>
    <xf numFmtId="0" fontId="30" fillId="0" borderId="2" xfId="0" applyFont="1" applyFill="1" applyBorder="1" applyAlignment="1">
      <alignment horizontal="left" wrapText="1"/>
    </xf>
    <xf numFmtId="0" fontId="38" fillId="0" borderId="0" xfId="0" applyFont="1" applyFill="1" applyBorder="1" applyAlignment="1">
      <alignment horizontal="left" wrapText="1"/>
    </xf>
    <xf numFmtId="0" fontId="21" fillId="7" borderId="0" xfId="0" applyFont="1" applyFill="1" applyBorder="1" applyAlignment="1"/>
    <xf numFmtId="0" fontId="60" fillId="0" borderId="0" xfId="0" applyFont="1" applyFill="1" applyBorder="1" applyAlignment="1">
      <alignment horizontal="center"/>
    </xf>
    <xf numFmtId="0" fontId="59" fillId="0" borderId="0" xfId="0" applyFont="1" applyFill="1" applyBorder="1" applyAlignment="1">
      <alignment horizontal="center" vertical="center"/>
    </xf>
    <xf numFmtId="0" fontId="27" fillId="0" borderId="2" xfId="0" applyFont="1" applyFill="1" applyBorder="1" applyAlignment="1">
      <alignment horizontal="left"/>
    </xf>
    <xf numFmtId="0" fontId="27" fillId="0" borderId="0" xfId="0" applyFont="1" applyFill="1" applyBorder="1" applyAlignment="1">
      <alignment horizontal="left"/>
    </xf>
    <xf numFmtId="0" fontId="47" fillId="2" borderId="0" xfId="0" applyFont="1" applyFill="1" applyAlignment="1">
      <alignment wrapText="1"/>
    </xf>
    <xf numFmtId="0" fontId="47" fillId="0" borderId="0" xfId="0" applyFont="1" applyAlignment="1">
      <alignment wrapText="1"/>
    </xf>
    <xf numFmtId="0" fontId="38" fillId="0" borderId="10" xfId="2" applyFont="1" applyFill="1" applyBorder="1" applyAlignment="1">
      <alignment horizontal="left" vertical="top" wrapText="1"/>
    </xf>
    <xf numFmtId="0" fontId="38" fillId="0" borderId="11" xfId="2" applyFont="1" applyFill="1" applyBorder="1" applyAlignment="1">
      <alignment horizontal="left" vertical="top" wrapText="1"/>
    </xf>
    <xf numFmtId="0" fontId="0" fillId="0" borderId="99" xfId="0" applyFill="1" applyBorder="1" applyAlignment="1">
      <alignment vertical="top"/>
    </xf>
    <xf numFmtId="0" fontId="0" fillId="0" borderId="60" xfId="0" applyFill="1" applyBorder="1" applyAlignment="1">
      <alignment vertical="top"/>
    </xf>
    <xf numFmtId="3" fontId="37" fillId="0" borderId="57" xfId="0" applyNumberFormat="1" applyFont="1" applyFill="1" applyBorder="1" applyAlignment="1" applyProtection="1">
      <alignment horizontal="center" vertical="top"/>
      <protection locked="0"/>
    </xf>
    <xf numFmtId="3" fontId="37" fillId="0" borderId="83" xfId="0" applyNumberFormat="1" applyFont="1" applyFill="1" applyBorder="1" applyAlignment="1" applyProtection="1">
      <alignment horizontal="center" vertical="top"/>
      <protection locked="0"/>
    </xf>
    <xf numFmtId="3" fontId="37" fillId="0" borderId="58" xfId="0" applyNumberFormat="1" applyFont="1" applyFill="1" applyBorder="1" applyAlignment="1" applyProtection="1">
      <alignment horizontal="center" vertical="top"/>
      <protection locked="0"/>
    </xf>
    <xf numFmtId="3" fontId="37" fillId="5" borderId="7" xfId="0" applyNumberFormat="1" applyFont="1" applyFill="1" applyBorder="1" applyAlignment="1" applyProtection="1">
      <alignment horizontal="right" vertical="top"/>
      <protection locked="0"/>
    </xf>
    <xf numFmtId="0" fontId="0" fillId="5" borderId="92" xfId="0" applyFill="1" applyBorder="1" applyAlignment="1">
      <alignment horizontal="right" vertical="top"/>
    </xf>
    <xf numFmtId="0" fontId="0" fillId="5" borderId="43" xfId="0" applyFill="1" applyBorder="1" applyAlignment="1">
      <alignment horizontal="right" vertical="top"/>
    </xf>
    <xf numFmtId="3" fontId="37" fillId="0" borderId="73" xfId="0" applyNumberFormat="1" applyFont="1" applyFill="1" applyBorder="1" applyAlignment="1" applyProtection="1">
      <alignment horizontal="center" vertical="top"/>
      <protection locked="0"/>
    </xf>
    <xf numFmtId="3" fontId="37" fillId="0" borderId="82" xfId="0" applyNumberFormat="1" applyFont="1" applyFill="1" applyBorder="1" applyAlignment="1" applyProtection="1">
      <alignment horizontal="center" vertical="top"/>
      <protection locked="0"/>
    </xf>
    <xf numFmtId="3" fontId="37" fillId="0" borderId="90" xfId="0" applyNumberFormat="1" applyFont="1" applyFill="1" applyBorder="1" applyAlignment="1" applyProtection="1">
      <alignment horizontal="center" vertical="top"/>
      <protection locked="0"/>
    </xf>
    <xf numFmtId="3" fontId="37" fillId="0" borderId="57" xfId="0" applyNumberFormat="1" applyFont="1" applyFill="1" applyBorder="1" applyAlignment="1" applyProtection="1">
      <alignment horizontal="right" vertical="top"/>
      <protection locked="0"/>
    </xf>
    <xf numFmtId="0" fontId="0" fillId="0" borderId="83" xfId="0" applyFill="1" applyBorder="1" applyAlignment="1">
      <alignment horizontal="right" vertical="top"/>
    </xf>
    <xf numFmtId="0" fontId="0" fillId="0" borderId="58" xfId="0" applyFill="1" applyBorder="1" applyAlignment="1">
      <alignment horizontal="right" vertical="top"/>
    </xf>
    <xf numFmtId="3" fontId="37" fillId="0" borderId="88" xfId="0" applyNumberFormat="1" applyFont="1" applyFill="1" applyBorder="1" applyAlignment="1" applyProtection="1">
      <alignment horizontal="right" vertical="top"/>
      <protection locked="0"/>
    </xf>
    <xf numFmtId="0" fontId="0" fillId="0" borderId="98" xfId="0" applyFill="1" applyBorder="1" applyAlignment="1">
      <alignment horizontal="right" vertical="top"/>
    </xf>
    <xf numFmtId="0" fontId="0" fillId="0" borderId="64" xfId="0" applyFill="1" applyBorder="1" applyAlignment="1">
      <alignment horizontal="right" vertical="top"/>
    </xf>
    <xf numFmtId="0" fontId="34" fillId="8" borderId="10" xfId="0" applyFont="1" applyFill="1" applyBorder="1" applyAlignment="1">
      <alignment horizontal="left" vertical="top" wrapText="1"/>
    </xf>
    <xf numFmtId="0" fontId="34" fillId="8" borderId="11" xfId="0" applyFont="1" applyFill="1" applyBorder="1" applyAlignment="1">
      <alignment horizontal="left" vertical="top" wrapText="1"/>
    </xf>
    <xf numFmtId="0" fontId="34" fillId="8" borderId="12" xfId="0" applyFont="1" applyFill="1" applyBorder="1" applyAlignment="1">
      <alignment horizontal="left" vertical="top" wrapText="1"/>
    </xf>
    <xf numFmtId="0" fontId="37" fillId="3" borderId="10" xfId="0" applyFont="1" applyFill="1" applyBorder="1" applyAlignment="1">
      <alignment horizontal="left" vertical="top"/>
    </xf>
    <xf numFmtId="0" fontId="37" fillId="3" borderId="11" xfId="0" applyFont="1" applyFill="1" applyBorder="1" applyAlignment="1">
      <alignment horizontal="left" vertical="top"/>
    </xf>
    <xf numFmtId="0" fontId="37" fillId="3" borderId="12" xfId="0" applyFont="1" applyFill="1" applyBorder="1" applyAlignment="1">
      <alignment horizontal="left" vertical="top"/>
    </xf>
    <xf numFmtId="3" fontId="37" fillId="0" borderId="88" xfId="0" applyNumberFormat="1" applyFont="1" applyFill="1" applyBorder="1" applyAlignment="1" applyProtection="1">
      <alignment horizontal="center" vertical="top"/>
      <protection locked="0"/>
    </xf>
    <xf numFmtId="3" fontId="37" fillId="0" borderId="98" xfId="0" applyNumberFormat="1" applyFont="1" applyFill="1" applyBorder="1" applyAlignment="1" applyProtection="1">
      <alignment horizontal="center" vertical="top"/>
      <protection locked="0"/>
    </xf>
    <xf numFmtId="3" fontId="37" fillId="0" borderId="64" xfId="0" applyNumberFormat="1" applyFont="1" applyFill="1" applyBorder="1" applyAlignment="1" applyProtection="1">
      <alignment horizontal="center" vertical="top"/>
      <protection locked="0"/>
    </xf>
    <xf numFmtId="0" fontId="33" fillId="7" borderId="67" xfId="0" applyFont="1" applyFill="1" applyBorder="1" applyAlignment="1">
      <alignment horizontal="left"/>
    </xf>
    <xf numFmtId="0" fontId="37" fillId="7" borderId="10" xfId="0" applyFont="1" applyFill="1" applyBorder="1" applyAlignment="1">
      <alignment horizontal="center" vertical="top"/>
    </xf>
    <xf numFmtId="0" fontId="37" fillId="7" borderId="11" xfId="0" applyFont="1" applyFill="1" applyBorder="1" applyAlignment="1">
      <alignment horizontal="center" vertical="top"/>
    </xf>
    <xf numFmtId="0" fontId="37" fillId="7" borderId="12" xfId="0" applyFont="1" applyFill="1" applyBorder="1" applyAlignment="1">
      <alignment horizontal="center" vertical="top"/>
    </xf>
    <xf numFmtId="0" fontId="32" fillId="4" borderId="113" xfId="0" applyFont="1" applyFill="1" applyBorder="1" applyAlignment="1">
      <alignment horizontal="center" vertical="top"/>
    </xf>
    <xf numFmtId="0" fontId="32" fillId="4" borderId="103" xfId="0" applyFont="1" applyFill="1" applyBorder="1" applyAlignment="1">
      <alignment horizontal="center" vertical="top"/>
    </xf>
    <xf numFmtId="0" fontId="32" fillId="4" borderId="115" xfId="0" applyFont="1" applyFill="1" applyBorder="1" applyAlignment="1">
      <alignment horizontal="center" vertical="top"/>
    </xf>
    <xf numFmtId="0" fontId="61" fillId="7" borderId="8" xfId="0" applyFont="1" applyFill="1" applyBorder="1" applyAlignment="1">
      <alignment horizontal="center" vertical="top"/>
    </xf>
    <xf numFmtId="0" fontId="62" fillId="0" borderId="0" xfId="0" applyFont="1" applyFill="1" applyBorder="1" applyAlignment="1">
      <alignment horizontal="center" vertical="top"/>
    </xf>
    <xf numFmtId="0" fontId="31" fillId="2" borderId="4" xfId="0" applyFont="1" applyFill="1" applyBorder="1" applyAlignment="1" applyProtection="1">
      <alignment vertical="top"/>
    </xf>
    <xf numFmtId="0" fontId="0" fillId="2" borderId="3" xfId="0" applyFill="1" applyBorder="1" applyAlignment="1">
      <alignment vertical="top"/>
    </xf>
    <xf numFmtId="0" fontId="0" fillId="2" borderId="5" xfId="0" applyFill="1" applyBorder="1" applyAlignment="1">
      <alignment vertical="top"/>
    </xf>
    <xf numFmtId="0" fontId="31" fillId="2" borderId="17" xfId="0" applyFont="1" applyFill="1" applyBorder="1" applyAlignment="1" applyProtection="1">
      <alignment vertical="top"/>
    </xf>
    <xf numFmtId="0" fontId="0" fillId="2" borderId="67" xfId="0" applyFill="1" applyBorder="1" applyAlignment="1">
      <alignment vertical="top"/>
    </xf>
    <xf numFmtId="0" fontId="0" fillId="2" borderId="55" xfId="0" applyFill="1" applyBorder="1" applyAlignment="1">
      <alignment vertical="top"/>
    </xf>
    <xf numFmtId="3" fontId="37" fillId="0" borderId="73" xfId="0" applyNumberFormat="1" applyFont="1" applyFill="1" applyBorder="1" applyAlignment="1" applyProtection="1">
      <alignment horizontal="right" vertical="top"/>
      <protection locked="0"/>
    </xf>
    <xf numFmtId="0" fontId="0" fillId="0" borderId="82" xfId="0" applyFill="1" applyBorder="1" applyAlignment="1">
      <alignment horizontal="right" vertical="top"/>
    </xf>
    <xf numFmtId="0" fontId="0" fillId="0" borderId="56" xfId="0" applyFill="1" applyBorder="1" applyAlignment="1">
      <alignment horizontal="right" vertical="top"/>
    </xf>
    <xf numFmtId="0" fontId="33" fillId="0" borderId="3" xfId="0" applyFont="1" applyFill="1" applyBorder="1" applyAlignment="1">
      <alignment horizontal="left" wrapText="1"/>
    </xf>
    <xf numFmtId="0" fontId="71" fillId="7" borderId="67" xfId="0" applyFont="1" applyFill="1" applyBorder="1" applyAlignment="1">
      <alignment wrapText="1"/>
    </xf>
    <xf numFmtId="0" fontId="21" fillId="0" borderId="67" xfId="0" applyFont="1" applyBorder="1" applyAlignment="1">
      <alignment wrapText="1"/>
    </xf>
    <xf numFmtId="0" fontId="21" fillId="0" borderId="3" xfId="0" applyFont="1" applyBorder="1" applyAlignment="1">
      <alignment wrapText="1"/>
    </xf>
    <xf numFmtId="0" fontId="37" fillId="7" borderId="10" xfId="0" applyFont="1" applyFill="1" applyBorder="1" applyAlignment="1">
      <alignment vertical="top"/>
    </xf>
    <xf numFmtId="0" fontId="21" fillId="7" borderId="11" xfId="0" applyFont="1" applyFill="1" applyBorder="1" applyAlignment="1">
      <alignment vertical="top"/>
    </xf>
    <xf numFmtId="0" fontId="21" fillId="7" borderId="12" xfId="0" applyFont="1" applyFill="1" applyBorder="1" applyAlignment="1">
      <alignment vertical="top"/>
    </xf>
    <xf numFmtId="0" fontId="47" fillId="0" borderId="4" xfId="0" applyFont="1" applyFill="1" applyBorder="1" applyAlignment="1">
      <alignment horizontal="left" wrapText="1"/>
    </xf>
    <xf numFmtId="0" fontId="47" fillId="0" borderId="3" xfId="0" applyFont="1" applyFill="1" applyBorder="1" applyAlignment="1">
      <alignment horizontal="left" wrapText="1"/>
    </xf>
    <xf numFmtId="0" fontId="47" fillId="0" borderId="5" xfId="0" applyFont="1" applyFill="1" applyBorder="1" applyAlignment="1">
      <alignment horizontal="left" wrapText="1"/>
    </xf>
    <xf numFmtId="0" fontId="27" fillId="0" borderId="0" xfId="0" applyFont="1" applyFill="1" applyBorder="1" applyAlignment="1">
      <alignment horizontal="center" vertical="top" wrapText="1"/>
    </xf>
    <xf numFmtId="0" fontId="47" fillId="0" borderId="2" xfId="0" applyFont="1" applyFill="1" applyBorder="1" applyAlignment="1">
      <alignment horizontal="left" wrapText="1"/>
    </xf>
    <xf numFmtId="0" fontId="47" fillId="0" borderId="0" xfId="0" applyFont="1" applyFill="1" applyBorder="1" applyAlignment="1">
      <alignment horizontal="left" wrapText="1"/>
    </xf>
    <xf numFmtId="0" fontId="47" fillId="0" borderId="1" xfId="0" applyFont="1" applyFill="1" applyBorder="1" applyAlignment="1">
      <alignment horizontal="left" wrapText="1"/>
    </xf>
    <xf numFmtId="0" fontId="47" fillId="0" borderId="17" xfId="0" applyFont="1" applyFill="1" applyBorder="1" applyAlignment="1">
      <alignment horizontal="left" wrapText="1"/>
    </xf>
    <xf numFmtId="0" fontId="47" fillId="0" borderId="67" xfId="0" applyFont="1" applyFill="1" applyBorder="1" applyAlignment="1">
      <alignment horizontal="left" wrapText="1"/>
    </xf>
    <xf numFmtId="0" fontId="47" fillId="0" borderId="55" xfId="0" applyFont="1" applyFill="1" applyBorder="1" applyAlignment="1">
      <alignment horizontal="left" wrapText="1"/>
    </xf>
    <xf numFmtId="0" fontId="32" fillId="4" borderId="8" xfId="2" applyFont="1" applyFill="1" applyBorder="1" applyAlignment="1">
      <alignment horizontal="center" vertical="top"/>
    </xf>
    <xf numFmtId="0" fontId="0" fillId="0" borderId="98" xfId="0" applyFill="1" applyBorder="1" applyAlignment="1">
      <alignment horizontal="center" vertical="top"/>
    </xf>
    <xf numFmtId="0" fontId="0" fillId="0" borderId="64" xfId="0" applyFill="1" applyBorder="1" applyAlignment="1">
      <alignment horizontal="center" vertical="top"/>
    </xf>
    <xf numFmtId="3" fontId="38" fillId="0" borderId="57" xfId="0" applyNumberFormat="1" applyFont="1" applyFill="1" applyBorder="1" applyAlignment="1" applyProtection="1">
      <alignment vertical="top"/>
      <protection locked="0"/>
    </xf>
    <xf numFmtId="3" fontId="38" fillId="0" borderId="83" xfId="0" applyNumberFormat="1" applyFont="1" applyFill="1" applyBorder="1" applyAlignment="1" applyProtection="1">
      <alignment vertical="top"/>
      <protection locked="0"/>
    </xf>
    <xf numFmtId="3" fontId="38" fillId="0" borderId="58" xfId="0" applyNumberFormat="1" applyFont="1" applyFill="1" applyBorder="1" applyAlignment="1" applyProtection="1">
      <alignment vertical="top"/>
      <protection locked="0"/>
    </xf>
    <xf numFmtId="0" fontId="34" fillId="16" borderId="10" xfId="0" applyFont="1" applyFill="1" applyBorder="1" applyAlignment="1">
      <alignment horizontal="left" vertical="top" wrapText="1"/>
    </xf>
    <xf numFmtId="0" fontId="22" fillId="16" borderId="11" xfId="0" applyFont="1" applyFill="1" applyBorder="1" applyAlignment="1">
      <alignment horizontal="left" vertical="top" wrapText="1"/>
    </xf>
    <xf numFmtId="0" fontId="22" fillId="16" borderId="12" xfId="0" applyFont="1" applyFill="1" applyBorder="1" applyAlignment="1">
      <alignment horizontal="left" vertical="top" wrapText="1"/>
    </xf>
    <xf numFmtId="3" fontId="26" fillId="0" borderId="68" xfId="0" applyNumberFormat="1" applyFont="1" applyFill="1" applyBorder="1" applyAlignment="1" applyProtection="1">
      <alignment vertical="top"/>
      <protection locked="0"/>
    </xf>
    <xf numFmtId="3" fontId="26" fillId="0" borderId="91" xfId="0" applyNumberFormat="1" applyFont="1" applyFill="1" applyBorder="1" applyAlignment="1" applyProtection="1">
      <alignment vertical="top"/>
      <protection locked="0"/>
    </xf>
    <xf numFmtId="3" fontId="26" fillId="0" borderId="56" xfId="0" applyNumberFormat="1" applyFont="1" applyFill="1" applyBorder="1" applyAlignment="1" applyProtection="1">
      <alignment vertical="top"/>
      <protection locked="0"/>
    </xf>
    <xf numFmtId="3" fontId="38" fillId="0" borderId="74" xfId="0" applyNumberFormat="1" applyFont="1" applyFill="1" applyBorder="1" applyAlignment="1" applyProtection="1">
      <alignment vertical="top"/>
      <protection locked="0"/>
    </xf>
    <xf numFmtId="3" fontId="38" fillId="0" borderId="84" xfId="0" applyNumberFormat="1" applyFont="1" applyFill="1" applyBorder="1" applyAlignment="1" applyProtection="1">
      <alignment vertical="top"/>
      <protection locked="0"/>
    </xf>
    <xf numFmtId="3" fontId="38" fillId="0" borderId="89" xfId="0" applyNumberFormat="1" applyFont="1" applyFill="1" applyBorder="1" applyAlignment="1" applyProtection="1">
      <alignment vertical="top"/>
      <protection locked="0"/>
    </xf>
    <xf numFmtId="3" fontId="37" fillId="0" borderId="74" xfId="0" applyNumberFormat="1" applyFont="1" applyFill="1" applyBorder="1" applyAlignment="1" applyProtection="1">
      <alignment horizontal="center" vertical="top"/>
      <protection locked="0"/>
    </xf>
    <xf numFmtId="3" fontId="37" fillId="0" borderId="84" xfId="0" applyNumberFormat="1" applyFont="1" applyFill="1" applyBorder="1" applyAlignment="1" applyProtection="1">
      <alignment horizontal="center" vertical="top"/>
      <protection locked="0"/>
    </xf>
    <xf numFmtId="3" fontId="37" fillId="0" borderId="89" xfId="0" applyNumberFormat="1" applyFont="1" applyFill="1" applyBorder="1" applyAlignment="1" applyProtection="1">
      <alignment horizontal="center" vertical="top"/>
      <protection locked="0"/>
    </xf>
    <xf numFmtId="0" fontId="39" fillId="3" borderId="0" xfId="0" applyFont="1" applyFill="1" applyBorder="1" applyAlignment="1" applyProtection="1">
      <alignment vertical="top" wrapText="1"/>
      <protection locked="0"/>
    </xf>
    <xf numFmtId="0" fontId="21" fillId="0" borderId="0" xfId="0" applyFont="1" applyBorder="1" applyAlignment="1" applyProtection="1">
      <alignment vertical="top" wrapText="1"/>
      <protection locked="0"/>
    </xf>
    <xf numFmtId="0" fontId="0" fillId="0" borderId="84" xfId="0" applyFill="1" applyBorder="1" applyAlignment="1">
      <alignment vertical="top"/>
    </xf>
    <xf numFmtId="0" fontId="0" fillId="0" borderId="89" xfId="0" applyFill="1" applyBorder="1" applyAlignment="1">
      <alignment vertical="top"/>
    </xf>
    <xf numFmtId="0" fontId="0" fillId="0" borderId="67" xfId="0" applyFill="1" applyBorder="1" applyAlignment="1">
      <alignment vertical="top"/>
    </xf>
    <xf numFmtId="0" fontId="0" fillId="0" borderId="55" xfId="0" applyFill="1" applyBorder="1" applyAlignment="1">
      <alignment vertical="top"/>
    </xf>
    <xf numFmtId="0" fontId="74" fillId="0" borderId="0" xfId="0" applyFont="1" applyFill="1" applyBorder="1" applyAlignment="1">
      <alignment horizontal="left" vertical="top" wrapText="1"/>
    </xf>
    <xf numFmtId="0" fontId="21" fillId="0" borderId="0" xfId="0" applyFont="1" applyFill="1" applyAlignment="1">
      <alignment horizontal="left" vertical="top" wrapText="1"/>
    </xf>
    <xf numFmtId="0" fontId="32" fillId="4" borderId="103" xfId="2" applyFont="1" applyFill="1" applyBorder="1" applyAlignment="1">
      <alignment horizontal="center" vertical="top"/>
    </xf>
    <xf numFmtId="0" fontId="23" fillId="3" borderId="68" xfId="0" applyFont="1" applyFill="1" applyBorder="1" applyAlignment="1" applyProtection="1">
      <alignment horizontal="left" vertical="top"/>
      <protection locked="0"/>
    </xf>
    <xf numFmtId="0" fontId="0" fillId="0" borderId="91" xfId="0" applyBorder="1" applyAlignment="1" applyProtection="1">
      <alignment vertical="top"/>
      <protection locked="0"/>
    </xf>
    <xf numFmtId="0" fontId="0" fillId="0" borderId="56" xfId="0" applyBorder="1" applyAlignment="1" applyProtection="1">
      <alignment vertical="top"/>
      <protection locked="0"/>
    </xf>
    <xf numFmtId="0" fontId="70" fillId="7" borderId="10" xfId="0" applyFont="1" applyFill="1" applyBorder="1" applyAlignment="1">
      <alignment horizontal="left" vertical="top"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3" fontId="21" fillId="3" borderId="73" xfId="2" applyNumberFormat="1" applyFont="1" applyFill="1" applyBorder="1" applyAlignment="1" applyProtection="1">
      <alignment horizontal="center" vertical="top"/>
      <protection locked="0"/>
    </xf>
    <xf numFmtId="3" fontId="21" fillId="3" borderId="12" xfId="2" applyNumberFormat="1" applyFont="1" applyFill="1" applyBorder="1" applyAlignment="1" applyProtection="1">
      <alignment horizontal="center" vertical="top"/>
      <protection locked="0"/>
    </xf>
    <xf numFmtId="0" fontId="21" fillId="0" borderId="9" xfId="2" applyFill="1" applyBorder="1" applyAlignment="1">
      <alignment horizontal="center"/>
    </xf>
    <xf numFmtId="0" fontId="37" fillId="7" borderId="10" xfId="2" applyFont="1" applyFill="1" applyBorder="1" applyAlignment="1">
      <alignment vertical="top" wrapText="1"/>
    </xf>
    <xf numFmtId="0" fontId="37" fillId="7" borderId="11" xfId="2" applyFont="1" applyFill="1" applyBorder="1" applyAlignment="1">
      <alignment vertical="top" wrapText="1"/>
    </xf>
    <xf numFmtId="0" fontId="37" fillId="7" borderId="12" xfId="2" applyFont="1" applyFill="1" applyBorder="1" applyAlignment="1">
      <alignment vertical="top" wrapText="1"/>
    </xf>
    <xf numFmtId="0" fontId="34" fillId="8" borderId="10" xfId="2" applyFont="1" applyFill="1" applyBorder="1" applyAlignment="1">
      <alignment horizontal="left" vertical="top" wrapText="1"/>
    </xf>
    <xf numFmtId="0" fontId="34" fillId="8" borderId="11" xfId="2" applyFont="1" applyFill="1" applyBorder="1" applyAlignment="1">
      <alignment horizontal="left" vertical="top" wrapText="1"/>
    </xf>
    <xf numFmtId="0" fontId="34" fillId="8" borderId="12" xfId="2" applyFont="1" applyFill="1" applyBorder="1" applyAlignment="1">
      <alignment horizontal="left" vertical="top" wrapText="1"/>
    </xf>
    <xf numFmtId="0" fontId="37" fillId="7" borderId="10" xfId="2" applyFont="1" applyFill="1" applyBorder="1" applyAlignment="1">
      <alignment horizontal="center" vertical="top" wrapText="1"/>
    </xf>
    <xf numFmtId="0" fontId="37" fillId="7" borderId="11" xfId="2" applyFont="1" applyFill="1" applyBorder="1" applyAlignment="1">
      <alignment horizontal="center" vertical="top" wrapText="1"/>
    </xf>
    <xf numFmtId="0" fontId="21" fillId="0" borderId="10" xfId="2" applyFont="1" applyFill="1" applyBorder="1" applyAlignment="1">
      <alignment vertical="top"/>
    </xf>
    <xf numFmtId="0" fontId="21" fillId="0" borderId="11" xfId="2" applyFont="1" applyFill="1" applyBorder="1" applyAlignment="1">
      <alignment vertical="top"/>
    </xf>
    <xf numFmtId="0" fontId="21" fillId="0" borderId="12" xfId="2" applyFont="1" applyFill="1" applyBorder="1" applyAlignment="1">
      <alignment vertical="top"/>
    </xf>
    <xf numFmtId="3" fontId="37" fillId="5" borderId="74" xfId="2" applyNumberFormat="1" applyFont="1" applyFill="1" applyBorder="1" applyAlignment="1" applyProtection="1">
      <alignment horizontal="center" vertical="top"/>
      <protection locked="0"/>
    </xf>
    <xf numFmtId="3" fontId="37" fillId="5" borderId="89" xfId="2" applyNumberFormat="1" applyFont="1" applyFill="1" applyBorder="1" applyAlignment="1" applyProtection="1">
      <alignment horizontal="center" vertical="top"/>
      <protection locked="0"/>
    </xf>
    <xf numFmtId="3" fontId="21" fillId="3" borderId="90" xfId="2" applyNumberFormat="1" applyFont="1" applyFill="1" applyBorder="1" applyAlignment="1" applyProtection="1">
      <alignment horizontal="center" vertical="top"/>
      <protection locked="0"/>
    </xf>
    <xf numFmtId="3" fontId="21" fillId="3" borderId="10" xfId="2" applyNumberFormat="1" applyFont="1" applyFill="1" applyBorder="1" applyAlignment="1" applyProtection="1">
      <alignment horizontal="center" vertical="top"/>
      <protection locked="0"/>
    </xf>
    <xf numFmtId="0" fontId="105" fillId="0" borderId="0" xfId="0" applyFont="1" applyFill="1" applyBorder="1" applyAlignment="1">
      <alignment vertical="center" wrapText="1"/>
    </xf>
    <xf numFmtId="0" fontId="21" fillId="7" borderId="67" xfId="2" applyFill="1" applyBorder="1" applyAlignment="1">
      <alignment horizontal="left" wrapText="1"/>
    </xf>
    <xf numFmtId="0" fontId="21" fillId="7" borderId="55" xfId="2" applyFill="1" applyBorder="1" applyAlignment="1">
      <alignment horizontal="left" wrapText="1"/>
    </xf>
    <xf numFmtId="0" fontId="37" fillId="0" borderId="0" xfId="2" applyFont="1" applyFill="1" applyBorder="1" applyAlignment="1">
      <alignment vertical="top"/>
    </xf>
    <xf numFmtId="0" fontId="34" fillId="8" borderId="17" xfId="2" applyFont="1" applyFill="1" applyBorder="1" applyAlignment="1">
      <alignment horizontal="left" vertical="top" wrapText="1"/>
    </xf>
    <xf numFmtId="0" fontId="34" fillId="8" borderId="67" xfId="2" applyFont="1" applyFill="1" applyBorder="1" applyAlignment="1">
      <alignment horizontal="left" vertical="top" wrapText="1"/>
    </xf>
    <xf numFmtId="0" fontId="34" fillId="8" borderId="55" xfId="2" applyFont="1" applyFill="1" applyBorder="1" applyAlignment="1">
      <alignment horizontal="left" vertical="top" wrapText="1"/>
    </xf>
    <xf numFmtId="0" fontId="37" fillId="0" borderId="10" xfId="2" applyFont="1" applyFill="1" applyBorder="1" applyAlignment="1">
      <alignment vertical="top"/>
    </xf>
    <xf numFmtId="0" fontId="37" fillId="0" borderId="11" xfId="2" applyFont="1" applyFill="1" applyBorder="1" applyAlignment="1">
      <alignment vertical="top"/>
    </xf>
    <xf numFmtId="0" fontId="37" fillId="0" borderId="12" xfId="2" applyFont="1" applyFill="1" applyBorder="1" applyAlignment="1">
      <alignment vertical="top"/>
    </xf>
    <xf numFmtId="0" fontId="21" fillId="0" borderId="10" xfId="2" applyFill="1" applyBorder="1" applyAlignment="1">
      <alignment vertical="top"/>
    </xf>
    <xf numFmtId="0" fontId="21" fillId="0" borderId="3" xfId="2" applyFill="1" applyBorder="1" applyAlignment="1">
      <alignment vertical="top"/>
    </xf>
    <xf numFmtId="0" fontId="21" fillId="0" borderId="12" xfId="2" applyFill="1" applyBorder="1" applyAlignment="1">
      <alignment vertical="top"/>
    </xf>
    <xf numFmtId="0" fontId="21" fillId="0" borderId="11" xfId="2" applyFill="1" applyBorder="1" applyAlignment="1">
      <alignment vertical="top"/>
    </xf>
    <xf numFmtId="0" fontId="21" fillId="7" borderId="0" xfId="2" applyFill="1" applyBorder="1" applyAlignment="1">
      <alignment horizontal="left" wrapText="1"/>
    </xf>
    <xf numFmtId="0" fontId="47" fillId="7" borderId="0" xfId="0" applyFont="1" applyFill="1" applyBorder="1" applyAlignment="1">
      <alignment horizontal="left" vertical="top" wrapText="1"/>
    </xf>
    <xf numFmtId="0" fontId="47" fillId="7" borderId="0" xfId="0" applyNumberFormat="1" applyFont="1" applyFill="1" applyBorder="1" applyAlignment="1">
      <alignment horizontal="left" vertical="top" wrapText="1"/>
    </xf>
    <xf numFmtId="0" fontId="47" fillId="0" borderId="0" xfId="0" applyFont="1" applyFill="1" applyBorder="1" applyAlignment="1">
      <alignment horizontal="left" vertical="top" wrapText="1"/>
    </xf>
    <xf numFmtId="0" fontId="32" fillId="4" borderId="104" xfId="2" applyFont="1" applyFill="1" applyBorder="1" applyAlignment="1">
      <alignment horizontal="center" vertical="top"/>
    </xf>
    <xf numFmtId="0" fontId="47" fillId="7" borderId="67" xfId="0" applyNumberFormat="1" applyFont="1" applyFill="1" applyBorder="1" applyAlignment="1">
      <alignment horizontal="left" vertical="top" wrapText="1"/>
    </xf>
    <xf numFmtId="0" fontId="47" fillId="7" borderId="0" xfId="2" applyFont="1" applyFill="1" applyBorder="1" applyAlignment="1">
      <alignment horizontal="left" vertical="top" wrapText="1"/>
    </xf>
    <xf numFmtId="0" fontId="21" fillId="7" borderId="10" xfId="2" applyFill="1" applyBorder="1" applyAlignment="1">
      <alignment horizontal="center" vertical="top"/>
    </xf>
    <xf numFmtId="0" fontId="21" fillId="7" borderId="11" xfId="2" applyFill="1" applyBorder="1" applyAlignment="1">
      <alignment horizontal="center" vertical="top"/>
    </xf>
    <xf numFmtId="0" fontId="21" fillId="7" borderId="12" xfId="2" applyFill="1" applyBorder="1" applyAlignment="1">
      <alignment horizontal="center" vertical="top"/>
    </xf>
    <xf numFmtId="3" fontId="23" fillId="3" borderId="0" xfId="2" applyNumberFormat="1" applyFont="1" applyFill="1" applyAlignment="1">
      <alignment horizontal="left" vertical="top"/>
    </xf>
    <xf numFmtId="0" fontId="32" fillId="4" borderId="113" xfId="2" applyFont="1" applyFill="1" applyBorder="1" applyAlignment="1">
      <alignment horizontal="center" vertical="top"/>
    </xf>
    <xf numFmtId="0" fontId="32" fillId="4" borderId="115" xfId="2" applyFont="1" applyFill="1" applyBorder="1" applyAlignment="1">
      <alignment horizontal="center" vertical="top"/>
    </xf>
    <xf numFmtId="0" fontId="34" fillId="8" borderId="4" xfId="2" applyFont="1" applyFill="1" applyBorder="1" applyAlignment="1">
      <alignment horizontal="left" vertical="top" wrapText="1"/>
    </xf>
    <xf numFmtId="0" fontId="34" fillId="8" borderId="3" xfId="2" applyFont="1" applyFill="1" applyBorder="1" applyAlignment="1">
      <alignment horizontal="left" vertical="top" wrapText="1"/>
    </xf>
    <xf numFmtId="0" fontId="34" fillId="8" borderId="5" xfId="2" applyFont="1" applyFill="1" applyBorder="1" applyAlignment="1">
      <alignment horizontal="left" vertical="top" wrapText="1"/>
    </xf>
    <xf numFmtId="0" fontId="36" fillId="0" borderId="10" xfId="2" applyFont="1" applyFill="1" applyBorder="1" applyAlignment="1">
      <alignment horizontal="left" vertical="top" wrapText="1"/>
    </xf>
    <xf numFmtId="0" fontId="21" fillId="0" borderId="11" xfId="2" applyFill="1" applyBorder="1" applyAlignment="1">
      <alignment vertical="top" wrapText="1"/>
    </xf>
    <xf numFmtId="0" fontId="21" fillId="0" borderId="12" xfId="2" applyFill="1" applyBorder="1" applyAlignment="1">
      <alignment vertical="top" wrapText="1"/>
    </xf>
    <xf numFmtId="0" fontId="34" fillId="16" borderId="10" xfId="2" applyFont="1" applyFill="1" applyBorder="1" applyAlignment="1">
      <alignment horizontal="left" vertical="top" wrapText="1"/>
    </xf>
    <xf numFmtId="0" fontId="34" fillId="16" borderId="11" xfId="2" applyFont="1" applyFill="1" applyBorder="1" applyAlignment="1">
      <alignment horizontal="left" vertical="top" wrapText="1"/>
    </xf>
    <xf numFmtId="0" fontId="34" fillId="16" borderId="12" xfId="2" applyFont="1" applyFill="1" applyBorder="1" applyAlignment="1">
      <alignment horizontal="left" vertical="top" wrapText="1"/>
    </xf>
    <xf numFmtId="0" fontId="21" fillId="0" borderId="10" xfId="2" applyFont="1" applyFill="1" applyBorder="1" applyAlignment="1">
      <alignment horizontal="left" vertical="top" wrapText="1" indent="2"/>
    </xf>
    <xf numFmtId="0" fontId="21" fillId="0" borderId="11" xfId="2" applyFont="1" applyFill="1" applyBorder="1" applyAlignment="1">
      <alignment horizontal="left" vertical="top" wrapText="1" indent="2"/>
    </xf>
    <xf numFmtId="0" fontId="21" fillId="0" borderId="12" xfId="2" applyFont="1" applyFill="1" applyBorder="1" applyAlignment="1">
      <alignment horizontal="left" vertical="top" wrapText="1" indent="2"/>
    </xf>
    <xf numFmtId="0" fontId="32" fillId="4" borderId="0" xfId="2" applyFont="1" applyFill="1" applyBorder="1" applyAlignment="1">
      <alignment horizontal="center" vertical="top"/>
    </xf>
    <xf numFmtId="0" fontId="0" fillId="0" borderId="0" xfId="0" applyAlignment="1">
      <alignment vertical="top"/>
    </xf>
    <xf numFmtId="0" fontId="37" fillId="0" borderId="10" xfId="2" applyFont="1" applyFill="1" applyBorder="1" applyAlignment="1">
      <alignment horizontal="left" vertical="top" wrapText="1"/>
    </xf>
    <xf numFmtId="0" fontId="37" fillId="0" borderId="12" xfId="2" applyFont="1" applyFill="1" applyBorder="1" applyAlignment="1">
      <alignment horizontal="left" vertical="top" wrapText="1"/>
    </xf>
    <xf numFmtId="3" fontId="37" fillId="3" borderId="10" xfId="2" applyNumberFormat="1" applyFont="1" applyFill="1" applyBorder="1" applyAlignment="1">
      <alignment horizontal="center" vertical="top"/>
    </xf>
    <xf numFmtId="3" fontId="21" fillId="3" borderId="12" xfId="2" applyNumberFormat="1" applyFill="1" applyBorder="1" applyAlignment="1">
      <alignment horizontal="center" vertical="top"/>
    </xf>
    <xf numFmtId="3" fontId="37" fillId="3" borderId="73" xfId="2" applyNumberFormat="1" applyFont="1" applyFill="1" applyBorder="1" applyAlignment="1">
      <alignment horizontal="right" vertical="top"/>
    </xf>
    <xf numFmtId="0" fontId="21" fillId="0" borderId="90" xfId="2" applyBorder="1" applyAlignment="1">
      <alignment horizontal="right" vertical="top"/>
    </xf>
    <xf numFmtId="3" fontId="21" fillId="16" borderId="74" xfId="2" applyNumberFormat="1" applyFont="1" applyFill="1" applyBorder="1" applyAlignment="1" applyProtection="1">
      <alignment horizontal="right" vertical="top"/>
      <protection locked="0"/>
    </xf>
    <xf numFmtId="3" fontId="21" fillId="16" borderId="89" xfId="2" applyNumberFormat="1" applyFont="1" applyFill="1" applyBorder="1" applyAlignment="1" applyProtection="1">
      <alignment horizontal="right" vertical="top"/>
      <protection locked="0"/>
    </xf>
    <xf numFmtId="3" fontId="37" fillId="3" borderId="67" xfId="2" applyNumberFormat="1" applyFont="1" applyFill="1" applyBorder="1" applyAlignment="1">
      <alignment horizontal="center" vertical="top" wrapText="1"/>
    </xf>
    <xf numFmtId="3" fontId="37" fillId="3" borderId="55" xfId="2" applyNumberFormat="1" applyFont="1" applyFill="1" applyBorder="1" applyAlignment="1">
      <alignment horizontal="center" vertical="top" wrapText="1"/>
    </xf>
    <xf numFmtId="0" fontId="21" fillId="0" borderId="10" xfId="2" applyFont="1" applyFill="1" applyBorder="1" applyAlignment="1">
      <alignment horizontal="center" vertical="top" wrapText="1"/>
    </xf>
    <xf numFmtId="0" fontId="21" fillId="0" borderId="12" xfId="2" applyFont="1" applyFill="1" applyBorder="1" applyAlignment="1">
      <alignment horizontal="center" vertical="top" wrapText="1"/>
    </xf>
    <xf numFmtId="0" fontId="21" fillId="0" borderId="10" xfId="2" applyFont="1" applyFill="1" applyBorder="1" applyAlignment="1">
      <alignment horizontal="left" vertical="top" wrapText="1"/>
    </xf>
    <xf numFmtId="0" fontId="21" fillId="0" borderId="12" xfId="2" applyFont="1" applyFill="1" applyBorder="1" applyAlignment="1">
      <alignment horizontal="left" vertical="top" wrapText="1"/>
    </xf>
    <xf numFmtId="3" fontId="37" fillId="3" borderId="0" xfId="2" applyNumberFormat="1" applyFont="1" applyFill="1" applyBorder="1" applyAlignment="1">
      <alignment horizontal="center" vertical="top" wrapText="1"/>
    </xf>
    <xf numFmtId="3" fontId="37" fillId="3" borderId="1" xfId="2" applyNumberFormat="1" applyFont="1" applyFill="1" applyBorder="1" applyAlignment="1">
      <alignment horizontal="center" vertical="top" wrapText="1"/>
    </xf>
    <xf numFmtId="0" fontId="21" fillId="3" borderId="10" xfId="2" applyFont="1" applyFill="1" applyBorder="1" applyAlignment="1">
      <alignment horizontal="left" vertical="top" wrapText="1"/>
    </xf>
    <xf numFmtId="0" fontId="21" fillId="3" borderId="11" xfId="2" applyFont="1" applyFill="1" applyBorder="1" applyAlignment="1">
      <alignment horizontal="left" vertical="top" wrapText="1"/>
    </xf>
    <xf numFmtId="0" fontId="21" fillId="3" borderId="12" xfId="2" applyFont="1" applyFill="1" applyBorder="1" applyAlignment="1">
      <alignment horizontal="left" vertical="top" wrapText="1"/>
    </xf>
    <xf numFmtId="3" fontId="32" fillId="0" borderId="10" xfId="2" applyNumberFormat="1" applyFont="1" applyFill="1" applyBorder="1" applyAlignment="1" applyProtection="1">
      <alignment horizontal="center" vertical="top"/>
      <protection locked="0"/>
    </xf>
    <xf numFmtId="3" fontId="32" fillId="0" borderId="12" xfId="2" applyNumberFormat="1" applyFont="1" applyFill="1" applyBorder="1" applyAlignment="1" applyProtection="1">
      <alignment horizontal="center" vertical="top"/>
      <protection locked="0"/>
    </xf>
    <xf numFmtId="0" fontId="21" fillId="3" borderId="4" xfId="2" applyFont="1" applyFill="1" applyBorder="1" applyAlignment="1">
      <alignment horizontal="left" vertical="top" indent="1"/>
    </xf>
    <xf numFmtId="0" fontId="21" fillId="3" borderId="3" xfId="2" applyFont="1" applyFill="1" applyBorder="1" applyAlignment="1">
      <alignment horizontal="left" vertical="top" indent="1"/>
    </xf>
    <xf numFmtId="0" fontId="21" fillId="3" borderId="5" xfId="2" applyFont="1" applyFill="1" applyBorder="1" applyAlignment="1">
      <alignment horizontal="left" vertical="top" indent="1"/>
    </xf>
    <xf numFmtId="0" fontId="21" fillId="0" borderId="17" xfId="2" applyFont="1" applyFill="1" applyBorder="1" applyAlignment="1">
      <alignment horizontal="left" vertical="top" wrapText="1"/>
    </xf>
    <xf numFmtId="0" fontId="21" fillId="0" borderId="67" xfId="2" applyFont="1" applyFill="1" applyBorder="1" applyAlignment="1">
      <alignment horizontal="left" vertical="top" wrapText="1"/>
    </xf>
    <xf numFmtId="0" fontId="21" fillId="3" borderId="17" xfId="2" applyFont="1" applyFill="1" applyBorder="1" applyAlignment="1">
      <alignment horizontal="left" vertical="top" wrapText="1"/>
    </xf>
    <xf numFmtId="0" fontId="21" fillId="3" borderId="67" xfId="2" applyFont="1" applyFill="1" applyBorder="1" applyAlignment="1">
      <alignment horizontal="left" vertical="top" wrapText="1"/>
    </xf>
    <xf numFmtId="0" fontId="21" fillId="16" borderId="10" xfId="2" applyFont="1" applyFill="1" applyBorder="1" applyAlignment="1">
      <alignment horizontal="left" vertical="top" wrapText="1" indent="2"/>
    </xf>
    <xf numFmtId="0" fontId="21" fillId="16" borderId="11" xfId="2" applyFont="1" applyFill="1" applyBorder="1" applyAlignment="1">
      <alignment horizontal="left" vertical="top" wrapText="1" indent="2"/>
    </xf>
    <xf numFmtId="0" fontId="21" fillId="16" borderId="12" xfId="2" applyFont="1" applyFill="1" applyBorder="1" applyAlignment="1">
      <alignment horizontal="left" vertical="top" wrapText="1" indent="2"/>
    </xf>
    <xf numFmtId="0" fontId="21" fillId="0" borderId="88" xfId="2" applyFont="1" applyFill="1" applyBorder="1" applyAlignment="1">
      <alignment horizontal="left" vertical="top" wrapText="1"/>
    </xf>
    <xf numFmtId="0" fontId="21" fillId="0" borderId="98" xfId="2" applyFont="1" applyFill="1" applyBorder="1" applyAlignment="1">
      <alignment horizontal="left" vertical="top" wrapText="1"/>
    </xf>
    <xf numFmtId="0" fontId="37" fillId="3" borderId="4" xfId="2" applyFont="1" applyFill="1" applyBorder="1" applyAlignment="1">
      <alignment vertical="top"/>
    </xf>
    <xf numFmtId="0" fontId="37" fillId="3" borderId="3" xfId="2" applyFont="1" applyFill="1" applyBorder="1" applyAlignment="1">
      <alignment vertical="top"/>
    </xf>
    <xf numFmtId="0" fontId="37" fillId="3" borderId="5" xfId="2" applyFont="1" applyFill="1" applyBorder="1" applyAlignment="1">
      <alignment vertical="top"/>
    </xf>
    <xf numFmtId="0" fontId="21" fillId="7" borderId="0" xfId="0" applyFont="1" applyFill="1" applyBorder="1" applyAlignment="1">
      <alignment horizontal="left" vertical="top" wrapText="1"/>
    </xf>
    <xf numFmtId="0" fontId="21" fillId="3" borderId="0" xfId="0" applyFont="1" applyFill="1" applyBorder="1" applyAlignment="1">
      <alignment horizontal="left" vertical="top" wrapText="1"/>
    </xf>
    <xf numFmtId="0" fontId="21" fillId="7" borderId="0" xfId="2" applyFont="1" applyFill="1" applyBorder="1" applyAlignment="1">
      <alignment vertical="top" wrapText="1"/>
    </xf>
    <xf numFmtId="0" fontId="21" fillId="0" borderId="0" xfId="2" applyAlignment="1">
      <alignment vertical="top"/>
    </xf>
    <xf numFmtId="0" fontId="37" fillId="0" borderId="10" xfId="2" applyFont="1" applyFill="1" applyBorder="1" applyAlignment="1">
      <alignment vertical="top" wrapText="1"/>
    </xf>
    <xf numFmtId="0" fontId="37" fillId="0" borderId="11" xfId="2" applyFont="1" applyFill="1" applyBorder="1" applyAlignment="1">
      <alignment vertical="top" wrapText="1"/>
    </xf>
    <xf numFmtId="0" fontId="37" fillId="0" borderId="12" xfId="2" applyFont="1" applyFill="1" applyBorder="1" applyAlignment="1">
      <alignment vertical="top" wrapText="1"/>
    </xf>
    <xf numFmtId="0" fontId="21" fillId="0" borderId="0" xfId="2" applyFont="1" applyFill="1" applyBorder="1" applyAlignment="1">
      <alignment vertical="top" wrapText="1"/>
    </xf>
    <xf numFmtId="0" fontId="32" fillId="4" borderId="67" xfId="2" applyFont="1" applyFill="1" applyBorder="1" applyAlignment="1">
      <alignment horizontal="center" vertical="top"/>
    </xf>
    <xf numFmtId="0" fontId="21" fillId="7" borderId="0" xfId="2" applyFont="1" applyFill="1" applyBorder="1" applyAlignment="1">
      <alignment horizontal="left" vertical="top" wrapText="1"/>
    </xf>
    <xf numFmtId="0" fontId="21" fillId="3" borderId="22" xfId="2" applyFont="1" applyFill="1" applyBorder="1" applyAlignment="1" applyProtection="1">
      <alignment horizontal="left" vertical="top" wrapText="1"/>
      <protection locked="0"/>
    </xf>
    <xf numFmtId="0" fontId="21" fillId="3" borderId="23" xfId="2" applyFont="1" applyFill="1" applyBorder="1" applyAlignment="1" applyProtection="1">
      <alignment horizontal="left" vertical="top" wrapText="1"/>
      <protection locked="0"/>
    </xf>
    <xf numFmtId="0" fontId="21" fillId="3" borderId="24" xfId="2" applyFont="1" applyFill="1" applyBorder="1" applyAlignment="1" applyProtection="1">
      <alignment horizontal="left" vertical="top" wrapText="1"/>
      <protection locked="0"/>
    </xf>
    <xf numFmtId="0" fontId="37" fillId="3" borderId="4" xfId="2" applyFont="1" applyFill="1" applyBorder="1" applyAlignment="1">
      <alignment horizontal="center" vertical="top"/>
    </xf>
    <xf numFmtId="0" fontId="37" fillId="3" borderId="3" xfId="2" applyFont="1" applyFill="1" applyBorder="1" applyAlignment="1">
      <alignment horizontal="center" vertical="top"/>
    </xf>
    <xf numFmtId="0" fontId="37" fillId="3" borderId="5" xfId="2" applyFont="1" applyFill="1" applyBorder="1" applyAlignment="1">
      <alignment horizontal="center" vertical="top"/>
    </xf>
    <xf numFmtId="0" fontId="21" fillId="3" borderId="19" xfId="2" applyFont="1" applyFill="1" applyBorder="1" applyAlignment="1" applyProtection="1">
      <alignment horizontal="left" vertical="top" wrapText="1"/>
      <protection locked="0"/>
    </xf>
    <xf numFmtId="0" fontId="21" fillId="3" borderId="20" xfId="2" applyFont="1" applyFill="1" applyBorder="1" applyAlignment="1" applyProtection="1">
      <alignment horizontal="left" vertical="top" wrapText="1"/>
      <protection locked="0"/>
    </xf>
    <xf numFmtId="0" fontId="21" fillId="3" borderId="21" xfId="2" applyFont="1" applyFill="1" applyBorder="1" applyAlignment="1" applyProtection="1">
      <alignment horizontal="left" vertical="top" wrapText="1"/>
      <protection locked="0"/>
    </xf>
    <xf numFmtId="0" fontId="37" fillId="0" borderId="3" xfId="2" applyFont="1" applyFill="1" applyBorder="1" applyAlignment="1">
      <alignment horizontal="left" vertical="top" wrapText="1"/>
    </xf>
    <xf numFmtId="0" fontId="21" fillId="7" borderId="10" xfId="2" applyFont="1" applyFill="1" applyBorder="1" applyAlignment="1">
      <alignment horizontal="left" vertical="top" wrapText="1"/>
    </xf>
    <xf numFmtId="0" fontId="21" fillId="0" borderId="11" xfId="2" applyBorder="1" applyAlignment="1">
      <alignment vertical="top"/>
    </xf>
    <xf numFmtId="0" fontId="21" fillId="0" borderId="12" xfId="2" applyBorder="1" applyAlignment="1">
      <alignment vertical="top"/>
    </xf>
    <xf numFmtId="0" fontId="37" fillId="6" borderId="0" xfId="2" applyFont="1" applyFill="1" applyBorder="1" applyAlignment="1">
      <alignment horizontal="center" vertical="top"/>
    </xf>
    <xf numFmtId="3" fontId="25" fillId="3" borderId="0" xfId="2" applyNumberFormat="1" applyFont="1" applyFill="1" applyAlignment="1">
      <alignment horizontal="left" vertical="top"/>
    </xf>
    <xf numFmtId="0" fontId="21" fillId="0" borderId="10" xfId="2" applyFont="1" applyFill="1" applyBorder="1" applyAlignment="1">
      <alignment vertical="top" wrapText="1"/>
    </xf>
    <xf numFmtId="0" fontId="21" fillId="0" borderId="11" xfId="2" applyFont="1" applyFill="1" applyBorder="1" applyAlignment="1">
      <alignment vertical="top" wrapText="1"/>
    </xf>
    <xf numFmtId="0" fontId="21" fillId="0" borderId="12" xfId="2" applyFont="1" applyFill="1" applyBorder="1" applyAlignment="1">
      <alignment vertical="top" wrapText="1"/>
    </xf>
    <xf numFmtId="3" fontId="37" fillId="0" borderId="67" xfId="2" applyNumberFormat="1" applyFont="1" applyFill="1" applyBorder="1" applyAlignment="1">
      <alignment horizontal="center" vertical="top" wrapText="1"/>
    </xf>
    <xf numFmtId="0" fontId="21" fillId="0" borderId="67" xfId="2" applyFill="1" applyBorder="1" applyAlignment="1">
      <alignment vertical="top" wrapText="1"/>
    </xf>
    <xf numFmtId="0" fontId="21" fillId="0" borderId="55" xfId="2" applyFill="1" applyBorder="1" applyAlignment="1">
      <alignment vertical="top" wrapText="1"/>
    </xf>
    <xf numFmtId="0" fontId="34" fillId="8" borderId="10" xfId="2" applyFont="1" applyFill="1" applyBorder="1" applyAlignment="1">
      <alignment vertical="top" wrapText="1"/>
    </xf>
    <xf numFmtId="0" fontId="21" fillId="8" borderId="11" xfId="2" applyFill="1" applyBorder="1" applyAlignment="1">
      <alignment vertical="top"/>
    </xf>
    <xf numFmtId="0" fontId="21" fillId="8" borderId="12" xfId="2" applyFill="1" applyBorder="1" applyAlignment="1">
      <alignment vertical="top"/>
    </xf>
    <xf numFmtId="0" fontId="0" fillId="0" borderId="67" xfId="0" applyBorder="1" applyAlignment="1">
      <alignment vertical="top"/>
    </xf>
    <xf numFmtId="0" fontId="37" fillId="3" borderId="7" xfId="2" applyFont="1" applyFill="1" applyBorder="1" applyAlignment="1">
      <alignment vertical="top"/>
    </xf>
    <xf numFmtId="0" fontId="0" fillId="0" borderId="92" xfId="0" applyBorder="1" applyAlignment="1">
      <alignment vertical="top"/>
    </xf>
    <xf numFmtId="0" fontId="0" fillId="0" borderId="130" xfId="0" applyBorder="1" applyAlignment="1">
      <alignment vertical="top"/>
    </xf>
    <xf numFmtId="0" fontId="0" fillId="0" borderId="129" xfId="0" applyBorder="1" applyAlignment="1">
      <alignment vertical="top"/>
    </xf>
    <xf numFmtId="0" fontId="32" fillId="15" borderId="113" xfId="2" applyFont="1" applyFill="1" applyBorder="1" applyAlignment="1">
      <alignment horizontal="center" vertical="top"/>
    </xf>
    <xf numFmtId="0" fontId="32" fillId="15" borderId="103" xfId="2" applyFont="1" applyFill="1" applyBorder="1" applyAlignment="1">
      <alignment horizontal="center" vertical="top"/>
    </xf>
    <xf numFmtId="0" fontId="32" fillId="15" borderId="115" xfId="2" applyFont="1" applyFill="1" applyBorder="1" applyAlignment="1">
      <alignment horizontal="center" vertical="top"/>
    </xf>
    <xf numFmtId="0" fontId="37" fillId="0" borderId="10" xfId="2" applyFont="1" applyFill="1" applyBorder="1" applyAlignment="1">
      <alignment horizontal="center" vertical="top" wrapText="1"/>
    </xf>
    <xf numFmtId="0" fontId="37" fillId="0" borderId="12" xfId="2" applyFont="1" applyFill="1" applyBorder="1" applyAlignment="1">
      <alignment horizontal="center" vertical="top" wrapText="1"/>
    </xf>
    <xf numFmtId="0" fontId="37" fillId="0" borderId="11" xfId="2" applyFont="1" applyFill="1" applyBorder="1" applyAlignment="1">
      <alignment horizontal="left" vertical="top" wrapText="1"/>
    </xf>
    <xf numFmtId="0" fontId="37" fillId="0" borderId="4" xfId="2" applyFont="1" applyFill="1" applyBorder="1" applyAlignment="1">
      <alignment horizontal="left" vertical="top" wrapText="1"/>
    </xf>
    <xf numFmtId="0" fontId="21" fillId="11" borderId="4" xfId="2" applyFont="1" applyFill="1" applyBorder="1" applyAlignment="1">
      <alignment horizontal="left" vertical="top" wrapText="1"/>
    </xf>
    <xf numFmtId="0" fontId="21" fillId="11" borderId="5" xfId="2" applyFont="1" applyFill="1" applyBorder="1" applyAlignment="1">
      <alignment horizontal="left" vertical="top" wrapText="1"/>
    </xf>
    <xf numFmtId="0" fontId="21" fillId="0" borderId="57" xfId="2" applyFont="1" applyFill="1" applyBorder="1" applyAlignment="1">
      <alignment horizontal="left" vertical="top" wrapText="1"/>
    </xf>
    <xf numFmtId="0" fontId="21" fillId="0" borderId="58" xfId="2" applyFont="1" applyBorder="1" applyAlignment="1">
      <alignment horizontal="left" vertical="top" wrapText="1"/>
    </xf>
    <xf numFmtId="0" fontId="37" fillId="0" borderId="57" xfId="2" applyFont="1" applyFill="1" applyBorder="1" applyAlignment="1">
      <alignment horizontal="left" vertical="top" wrapText="1"/>
    </xf>
    <xf numFmtId="0" fontId="21" fillId="0" borderId="58" xfId="0" applyFont="1" applyBorder="1" applyAlignment="1">
      <alignment horizontal="left" vertical="top" wrapText="1"/>
    </xf>
    <xf numFmtId="0" fontId="21" fillId="0" borderId="11" xfId="2" applyBorder="1" applyAlignment="1">
      <alignment vertical="top" wrapText="1"/>
    </xf>
    <xf numFmtId="0" fontId="21" fillId="0" borderId="12" xfId="2" applyBorder="1" applyAlignment="1">
      <alignment vertical="top" wrapText="1"/>
    </xf>
    <xf numFmtId="0" fontId="37" fillId="2" borderId="67" xfId="2" applyFont="1" applyFill="1" applyBorder="1" applyAlignment="1">
      <alignment horizontal="center" vertical="top"/>
    </xf>
    <xf numFmtId="0" fontId="34" fillId="8" borderId="11" xfId="2" applyFont="1" applyFill="1" applyBorder="1" applyAlignment="1">
      <alignment vertical="top" wrapText="1"/>
    </xf>
    <xf numFmtId="0" fontId="34" fillId="8" borderId="12" xfId="2" applyFont="1" applyFill="1" applyBorder="1" applyAlignment="1">
      <alignment vertical="top" wrapText="1"/>
    </xf>
    <xf numFmtId="0" fontId="21" fillId="7" borderId="10" xfId="2" applyFont="1" applyFill="1" applyBorder="1" applyAlignment="1">
      <alignment vertical="top" wrapText="1"/>
    </xf>
    <xf numFmtId="0" fontId="21" fillId="7" borderId="11" xfId="2" applyFont="1" applyFill="1" applyBorder="1" applyAlignment="1">
      <alignment vertical="top" wrapText="1"/>
    </xf>
    <xf numFmtId="0" fontId="21" fillId="7" borderId="12" xfId="2" applyFont="1" applyFill="1" applyBorder="1" applyAlignment="1">
      <alignment vertical="top" wrapText="1"/>
    </xf>
    <xf numFmtId="0" fontId="38" fillId="0" borderId="57" xfId="2" applyFont="1" applyFill="1" applyBorder="1" applyAlignment="1">
      <alignment vertical="top" wrapText="1"/>
    </xf>
    <xf numFmtId="0" fontId="21" fillId="0" borderId="58" xfId="2" applyBorder="1" applyAlignment="1">
      <alignment vertical="top" wrapText="1"/>
    </xf>
    <xf numFmtId="0" fontId="21" fillId="0" borderId="60" xfId="2" applyBorder="1" applyAlignment="1">
      <alignment vertical="top" wrapText="1"/>
    </xf>
    <xf numFmtId="0" fontId="32" fillId="4" borderId="113" xfId="2" applyFont="1" applyFill="1" applyBorder="1" applyAlignment="1">
      <alignment horizontal="center" vertical="top" wrapText="1"/>
    </xf>
    <xf numFmtId="0" fontId="32" fillId="4" borderId="103" xfId="2" applyFont="1" applyFill="1" applyBorder="1" applyAlignment="1">
      <alignment horizontal="center" vertical="top" wrapText="1"/>
    </xf>
    <xf numFmtId="0" fontId="32" fillId="4" borderId="115" xfId="2" applyFont="1" applyFill="1" applyBorder="1" applyAlignment="1">
      <alignment horizontal="center" vertical="top" wrapText="1"/>
    </xf>
    <xf numFmtId="0" fontId="21" fillId="7" borderId="4" xfId="2" applyFont="1" applyFill="1" applyBorder="1" applyAlignment="1">
      <alignment vertical="top" wrapText="1"/>
    </xf>
    <xf numFmtId="0" fontId="21" fillId="7" borderId="3" xfId="2" applyFont="1" applyFill="1" applyBorder="1" applyAlignment="1">
      <alignment vertical="top" wrapText="1"/>
    </xf>
    <xf numFmtId="0" fontId="21" fillId="7" borderId="5" xfId="2" applyFont="1" applyFill="1" applyBorder="1" applyAlignment="1">
      <alignment vertical="top" wrapText="1"/>
    </xf>
    <xf numFmtId="0" fontId="38" fillId="0" borderId="57" xfId="2" applyFont="1" applyFill="1" applyBorder="1" applyAlignment="1">
      <alignment horizontal="left" vertical="top" wrapText="1" indent="2"/>
    </xf>
    <xf numFmtId="0" fontId="21" fillId="0" borderId="58" xfId="2" applyBorder="1" applyAlignment="1">
      <alignment horizontal="left" vertical="top" wrapText="1" indent="2"/>
    </xf>
    <xf numFmtId="0" fontId="99" fillId="8" borderId="0" xfId="2" applyFont="1" applyFill="1" applyBorder="1" applyAlignment="1">
      <alignment vertical="top" wrapText="1"/>
    </xf>
    <xf numFmtId="0" fontId="21" fillId="8" borderId="0" xfId="2" applyFont="1" applyFill="1" applyBorder="1" applyAlignment="1">
      <alignment vertical="top"/>
    </xf>
    <xf numFmtId="0" fontId="32" fillId="4" borderId="117" xfId="2" applyFont="1" applyFill="1" applyBorder="1" applyAlignment="1">
      <alignment horizontal="center" vertical="top"/>
    </xf>
    <xf numFmtId="0" fontId="58" fillId="0" borderId="10" xfId="2" applyFont="1" applyFill="1" applyBorder="1" applyAlignment="1">
      <alignment horizontal="left" vertical="top" wrapText="1"/>
    </xf>
    <xf numFmtId="0" fontId="58" fillId="0" borderId="11" xfId="2" applyFont="1" applyFill="1" applyBorder="1" applyAlignment="1">
      <alignment vertical="top"/>
    </xf>
    <xf numFmtId="0" fontId="58" fillId="0" borderId="12" xfId="2" applyFont="1" applyFill="1" applyBorder="1" applyAlignment="1">
      <alignment vertical="top"/>
    </xf>
    <xf numFmtId="4" fontId="97" fillId="0" borderId="4" xfId="28" applyNumberFormat="1" applyFont="1" applyBorder="1" applyAlignment="1">
      <alignment horizontal="left" vertical="center" wrapText="1"/>
    </xf>
    <xf numFmtId="4" fontId="97" fillId="0" borderId="3" xfId="28" applyNumberFormat="1" applyFont="1" applyBorder="1" applyAlignment="1">
      <alignment horizontal="left" vertical="center" wrapText="1"/>
    </xf>
    <xf numFmtId="4" fontId="97" fillId="0" borderId="5" xfId="28" applyNumberFormat="1" applyFont="1" applyBorder="1" applyAlignment="1">
      <alignment horizontal="left" vertical="center" wrapText="1"/>
    </xf>
    <xf numFmtId="0" fontId="82" fillId="21" borderId="116" xfId="17" applyFont="1" applyFill="1" applyBorder="1" applyAlignment="1">
      <alignment horizontal="center" vertical="center" wrapText="1"/>
    </xf>
    <xf numFmtId="0" fontId="82" fillId="21" borderId="9" xfId="17" applyFont="1" applyFill="1" applyBorder="1" applyAlignment="1">
      <alignment horizontal="center" vertical="center" wrapText="1"/>
    </xf>
    <xf numFmtId="0" fontId="82" fillId="21" borderId="112" xfId="17" applyFont="1" applyFill="1" applyBorder="1" applyAlignment="1">
      <alignment horizontal="center" vertical="center" wrapText="1"/>
    </xf>
    <xf numFmtId="0" fontId="32" fillId="13" borderId="132" xfId="17" applyFont="1" applyFill="1" applyBorder="1" applyAlignment="1">
      <alignment horizontal="center" vertical="center"/>
    </xf>
    <xf numFmtId="0" fontId="0" fillId="0" borderId="8" xfId="0" applyBorder="1" applyAlignment="1"/>
    <xf numFmtId="0" fontId="0" fillId="0" borderId="133" xfId="0" applyBorder="1" applyAlignment="1"/>
    <xf numFmtId="4" fontId="63" fillId="0" borderId="10" xfId="15" applyNumberFormat="1" applyFont="1" applyFill="1" applyBorder="1" applyAlignment="1">
      <alignment wrapText="1"/>
    </xf>
    <xf numFmtId="0" fontId="0" fillId="0" borderId="11" xfId="0" applyBorder="1" applyAlignment="1">
      <alignment wrapText="1"/>
    </xf>
    <xf numFmtId="0" fontId="90" fillId="0" borderId="17" xfId="17" applyFont="1" applyFill="1" applyBorder="1" applyAlignment="1">
      <alignment horizontal="left" vertical="top" wrapText="1"/>
    </xf>
    <xf numFmtId="0" fontId="90" fillId="0" borderId="67" xfId="17" applyFont="1" applyFill="1" applyBorder="1" applyAlignment="1">
      <alignment horizontal="left" vertical="top" wrapText="1"/>
    </xf>
    <xf numFmtId="0" fontId="90" fillId="0" borderId="55" xfId="17" applyFont="1" applyFill="1" applyBorder="1" applyAlignment="1">
      <alignment horizontal="left" vertical="top" wrapText="1"/>
    </xf>
    <xf numFmtId="0" fontId="0" fillId="0" borderId="4" xfId="0" applyBorder="1" applyAlignment="1"/>
    <xf numFmtId="0" fontId="0" fillId="0" borderId="3" xfId="0" applyBorder="1" applyAlignment="1"/>
    <xf numFmtId="0" fontId="0" fillId="0" borderId="5" xfId="0" applyBorder="1" applyAlignment="1"/>
    <xf numFmtId="0" fontId="34" fillId="8" borderId="10" xfId="17" applyFont="1" applyFill="1" applyBorder="1" applyAlignment="1">
      <alignment vertical="center" wrapText="1"/>
    </xf>
    <xf numFmtId="0" fontId="0" fillId="0" borderId="11" xfId="0" applyBorder="1" applyAlignment="1"/>
    <xf numFmtId="0" fontId="0" fillId="0" borderId="12" xfId="0" applyBorder="1" applyAlignment="1"/>
    <xf numFmtId="0" fontId="36" fillId="0" borderId="12" xfId="2" applyFont="1" applyFill="1" applyBorder="1" applyAlignment="1">
      <alignment horizontal="left" vertical="top" wrapText="1"/>
    </xf>
    <xf numFmtId="0" fontId="32" fillId="13" borderId="113" xfId="2" applyFont="1" applyFill="1" applyBorder="1" applyAlignment="1">
      <alignment horizontal="center" vertical="top" wrapText="1"/>
    </xf>
    <xf numFmtId="0" fontId="32" fillId="13" borderId="103" xfId="2" applyFont="1" applyFill="1" applyBorder="1" applyAlignment="1">
      <alignment horizontal="center" vertical="top" wrapText="1"/>
    </xf>
    <xf numFmtId="0" fontId="32" fillId="13" borderId="115" xfId="2" applyFont="1" applyFill="1" applyBorder="1" applyAlignment="1">
      <alignment horizontal="center" vertical="top" wrapText="1"/>
    </xf>
    <xf numFmtId="4" fontId="63" fillId="0" borderId="3" xfId="15" applyNumberFormat="1" applyFont="1" applyFill="1" applyBorder="1" applyAlignment="1">
      <alignment wrapText="1"/>
    </xf>
    <xf numFmtId="0" fontId="0" fillId="0" borderId="3" xfId="0" applyBorder="1" applyAlignment="1">
      <alignment wrapText="1"/>
    </xf>
    <xf numFmtId="0" fontId="21" fillId="0" borderId="95" xfId="2" applyFont="1" applyFill="1" applyBorder="1" applyAlignment="1">
      <alignment horizontal="left" vertical="top" wrapText="1"/>
    </xf>
    <xf numFmtId="0" fontId="21" fillId="0" borderId="96" xfId="2" applyFont="1" applyBorder="1" applyAlignment="1">
      <alignment vertical="top"/>
    </xf>
    <xf numFmtId="0" fontId="73" fillId="0" borderId="17" xfId="2" applyFont="1" applyFill="1" applyBorder="1" applyAlignment="1">
      <alignment horizontal="left" vertical="top" wrapText="1"/>
    </xf>
    <xf numFmtId="0" fontId="73" fillId="0" borderId="67" xfId="2" applyFont="1" applyBorder="1" applyAlignment="1">
      <alignment horizontal="left" vertical="top" wrapText="1"/>
    </xf>
    <xf numFmtId="0" fontId="73" fillId="0" borderId="55" xfId="2" applyFont="1" applyBorder="1" applyAlignment="1">
      <alignment horizontal="left" vertical="top" wrapText="1"/>
    </xf>
    <xf numFmtId="0" fontId="37" fillId="0" borderId="7" xfId="2" applyFont="1" applyFill="1" applyBorder="1" applyAlignment="1">
      <alignment horizontal="left" vertical="top" wrapText="1"/>
    </xf>
    <xf numFmtId="0" fontId="21" fillId="0" borderId="43" xfId="2" applyBorder="1" applyAlignment="1"/>
    <xf numFmtId="0" fontId="86" fillId="7" borderId="11" xfId="2" applyFont="1" applyFill="1" applyBorder="1" applyAlignment="1">
      <alignment horizontal="center" vertical="top" wrapText="1"/>
    </xf>
    <xf numFmtId="0" fontId="37" fillId="0" borderId="12" xfId="2" applyFont="1" applyBorder="1" applyAlignment="1">
      <alignment horizontal="center" vertical="top" wrapText="1"/>
    </xf>
    <xf numFmtId="0" fontId="37" fillId="0" borderId="11" xfId="2" applyFont="1" applyBorder="1" applyAlignment="1">
      <alignment horizontal="center" vertical="top" wrapText="1"/>
    </xf>
    <xf numFmtId="0" fontId="37" fillId="7" borderId="10" xfId="2" applyFont="1" applyFill="1" applyBorder="1" applyAlignment="1">
      <alignment vertical="top"/>
    </xf>
    <xf numFmtId="3" fontId="45" fillId="3" borderId="0" xfId="2" applyNumberFormat="1" applyFont="1" applyFill="1" applyAlignment="1">
      <alignment horizontal="left" vertical="top"/>
    </xf>
    <xf numFmtId="0" fontId="32" fillId="16" borderId="113" xfId="2" applyFont="1" applyFill="1" applyBorder="1" applyAlignment="1">
      <alignment horizontal="center" vertical="top" wrapText="1"/>
    </xf>
    <xf numFmtId="0" fontId="32" fillId="16" borderId="103" xfId="2" applyFont="1" applyFill="1" applyBorder="1" applyAlignment="1">
      <alignment horizontal="center" vertical="top" wrapText="1"/>
    </xf>
    <xf numFmtId="0" fontId="32" fillId="16" borderId="115" xfId="2" applyFont="1" applyFill="1" applyBorder="1" applyAlignment="1">
      <alignment horizontal="center" vertical="top" wrapText="1"/>
    </xf>
    <xf numFmtId="0" fontId="58" fillId="0" borderId="11" xfId="2" applyFont="1" applyFill="1" applyBorder="1" applyAlignment="1">
      <alignment horizontal="left" vertical="top" wrapText="1"/>
    </xf>
    <xf numFmtId="0" fontId="58" fillId="0" borderId="12" xfId="2" applyFont="1" applyFill="1" applyBorder="1" applyAlignment="1">
      <alignment horizontal="left" vertical="top" wrapText="1"/>
    </xf>
    <xf numFmtId="0" fontId="65" fillId="0" borderId="10" xfId="2" applyFont="1" applyFill="1" applyBorder="1" applyAlignment="1">
      <alignment horizontal="center" vertical="top" wrapText="1"/>
    </xf>
    <xf numFmtId="0" fontId="21" fillId="0" borderId="11" xfId="2" applyBorder="1" applyAlignment="1">
      <alignment horizontal="center" vertical="top" wrapText="1"/>
    </xf>
    <xf numFmtId="0" fontId="21" fillId="0" borderId="12" xfId="2" applyBorder="1" applyAlignment="1">
      <alignment horizontal="center" vertical="top" wrapText="1"/>
    </xf>
    <xf numFmtId="0" fontId="58" fillId="0" borderId="4" xfId="2" applyFont="1" applyFill="1" applyBorder="1" applyAlignment="1">
      <alignment horizontal="center" vertical="top" wrapText="1"/>
    </xf>
    <xf numFmtId="0" fontId="58" fillId="0" borderId="3" xfId="2" applyFont="1" applyFill="1" applyBorder="1" applyAlignment="1">
      <alignment horizontal="center" vertical="top" wrapText="1"/>
    </xf>
    <xf numFmtId="0" fontId="58" fillId="0" borderId="5" xfId="2" applyFont="1" applyFill="1" applyBorder="1" applyAlignment="1">
      <alignment horizontal="center" vertical="top" wrapText="1"/>
    </xf>
    <xf numFmtId="0" fontId="63" fillId="0" borderId="10" xfId="2" applyFont="1" applyFill="1" applyBorder="1" applyAlignment="1">
      <alignment horizontal="left" vertical="top" wrapText="1"/>
    </xf>
    <xf numFmtId="0" fontId="63" fillId="0" borderId="12" xfId="2" applyFont="1" applyBorder="1" applyAlignment="1">
      <alignment horizontal="left" vertical="top" wrapText="1"/>
    </xf>
    <xf numFmtId="0" fontId="21" fillId="0" borderId="96" xfId="2" applyFont="1" applyFill="1" applyBorder="1" applyAlignment="1">
      <alignment horizontal="left" vertical="top" wrapText="1"/>
    </xf>
    <xf numFmtId="0" fontId="38" fillId="0" borderId="105" xfId="2" applyFont="1" applyFill="1" applyBorder="1" applyAlignment="1">
      <alignment horizontal="left" vertical="top" wrapText="1" indent="1"/>
    </xf>
    <xf numFmtId="0" fontId="38" fillId="0" borderId="106" xfId="2" applyFont="1" applyFill="1" applyBorder="1" applyAlignment="1">
      <alignment horizontal="left" vertical="top" wrapText="1" indent="1"/>
    </xf>
    <xf numFmtId="0" fontId="38" fillId="0" borderId="93" xfId="2" applyFont="1" applyFill="1" applyBorder="1" applyAlignment="1">
      <alignment horizontal="left" vertical="top" wrapText="1" indent="1"/>
    </xf>
    <xf numFmtId="0" fontId="38" fillId="0" borderId="94" xfId="2" applyFont="1" applyFill="1" applyBorder="1" applyAlignment="1">
      <alignment horizontal="left" vertical="top" wrapText="1" indent="1"/>
    </xf>
    <xf numFmtId="0" fontId="37" fillId="0" borderId="17" xfId="2" applyFont="1" applyFill="1" applyBorder="1" applyAlignment="1">
      <alignment horizontal="left" vertical="top" wrapText="1"/>
    </xf>
    <xf numFmtId="0" fontId="37" fillId="0" borderId="67" xfId="2" applyFont="1" applyBorder="1" applyAlignment="1">
      <alignment horizontal="left" vertical="top" wrapText="1"/>
    </xf>
    <xf numFmtId="0" fontId="37" fillId="0" borderId="55" xfId="2" applyFont="1" applyBorder="1" applyAlignment="1">
      <alignment horizontal="left" vertical="top" wrapText="1"/>
    </xf>
    <xf numFmtId="0" fontId="37" fillId="0" borderId="4" xfId="2" applyFont="1" applyBorder="1" applyAlignment="1">
      <alignment horizontal="left" vertical="top" wrapText="1"/>
    </xf>
    <xf numFmtId="0" fontId="37" fillId="0" borderId="3" xfId="2" applyFont="1" applyBorder="1" applyAlignment="1">
      <alignment horizontal="left" vertical="top" wrapText="1"/>
    </xf>
    <xf numFmtId="0" fontId="37" fillId="0" borderId="5" xfId="2" applyFont="1" applyBorder="1" applyAlignment="1">
      <alignment horizontal="left" vertical="top" wrapText="1"/>
    </xf>
    <xf numFmtId="0" fontId="58" fillId="0" borderId="11" xfId="2" applyFont="1" applyFill="1" applyBorder="1" applyAlignment="1">
      <alignment horizontal="center" vertical="top" wrapText="1"/>
    </xf>
    <xf numFmtId="0" fontId="21" fillId="0" borderId="43" xfId="2" applyFont="1" applyBorder="1" applyAlignment="1">
      <alignment vertical="top"/>
    </xf>
    <xf numFmtId="0" fontId="37" fillId="0" borderId="95" xfId="2" applyFont="1" applyFill="1" applyBorder="1" applyAlignment="1">
      <alignment horizontal="left" vertical="top" wrapText="1"/>
    </xf>
    <xf numFmtId="0" fontId="37" fillId="0" borderId="96" xfId="2" applyFont="1" applyFill="1" applyBorder="1" applyAlignment="1">
      <alignment horizontal="left" vertical="top" wrapText="1"/>
    </xf>
    <xf numFmtId="0" fontId="69" fillId="0" borderId="2" xfId="2" applyFont="1" applyFill="1" applyBorder="1" applyAlignment="1">
      <alignment horizontal="center" vertical="top" wrapText="1"/>
    </xf>
    <xf numFmtId="0" fontId="69" fillId="0" borderId="1" xfId="2" applyFont="1" applyFill="1" applyBorder="1" applyAlignment="1">
      <alignment horizontal="center" vertical="top" wrapText="1"/>
    </xf>
    <xf numFmtId="0" fontId="69" fillId="0" borderId="17" xfId="2" applyFont="1" applyFill="1" applyBorder="1" applyAlignment="1">
      <alignment horizontal="center" vertical="top" wrapText="1"/>
    </xf>
    <xf numFmtId="0" fontId="69" fillId="0" borderId="67" xfId="2" applyFont="1" applyFill="1" applyBorder="1" applyAlignment="1">
      <alignment horizontal="center" vertical="top" wrapText="1"/>
    </xf>
    <xf numFmtId="0" fontId="69" fillId="0" borderId="55" xfId="2" applyFont="1" applyFill="1" applyBorder="1" applyAlignment="1">
      <alignment horizontal="center" vertical="top" wrapText="1"/>
    </xf>
    <xf numFmtId="0" fontId="69" fillId="0" borderId="0" xfId="2" applyFont="1" applyFill="1" applyBorder="1" applyAlignment="1">
      <alignment horizontal="center" vertical="top" wrapText="1"/>
    </xf>
    <xf numFmtId="0" fontId="37" fillId="0" borderId="4" xfId="2" applyFont="1" applyFill="1" applyBorder="1" applyAlignment="1">
      <alignment vertical="top"/>
    </xf>
    <xf numFmtId="0" fontId="21" fillId="0" borderId="3" xfId="2" applyFont="1" applyBorder="1" applyAlignment="1">
      <alignment vertical="top"/>
    </xf>
    <xf numFmtId="0" fontId="21" fillId="0" borderId="5" xfId="2" applyFont="1" applyBorder="1" applyAlignment="1">
      <alignment vertical="top"/>
    </xf>
    <xf numFmtId="0" fontId="37" fillId="0" borderId="4" xfId="2" applyFont="1" applyFill="1" applyBorder="1" applyAlignment="1">
      <alignment horizontal="center"/>
    </xf>
    <xf numFmtId="0" fontId="37" fillId="0" borderId="3" xfId="2" applyFont="1" applyFill="1" applyBorder="1" applyAlignment="1">
      <alignment horizontal="center"/>
    </xf>
    <xf numFmtId="0" fontId="38" fillId="0" borderId="126" xfId="2" applyFont="1" applyFill="1" applyBorder="1" applyAlignment="1">
      <alignment horizontal="left" vertical="top" wrapText="1" indent="3"/>
    </xf>
    <xf numFmtId="0" fontId="21" fillId="0" borderId="127" xfId="2" applyBorder="1" applyAlignment="1">
      <alignment horizontal="left" vertical="top" wrapText="1" indent="3"/>
    </xf>
    <xf numFmtId="3" fontId="37" fillId="0" borderId="57" xfId="2" applyNumberFormat="1" applyFont="1" applyFill="1" applyBorder="1" applyAlignment="1" applyProtection="1">
      <alignment horizontal="right" vertical="top"/>
      <protection locked="0"/>
    </xf>
    <xf numFmtId="3" fontId="37" fillId="0" borderId="83" xfId="2" applyNumberFormat="1" applyFont="1" applyFill="1" applyBorder="1" applyAlignment="1" applyProtection="1">
      <alignment horizontal="right" vertical="top"/>
      <protection locked="0"/>
    </xf>
    <xf numFmtId="0" fontId="21" fillId="0" borderId="58" xfId="2" applyFill="1" applyBorder="1" applyAlignment="1">
      <alignment horizontal="right" vertical="top"/>
    </xf>
    <xf numFmtId="0" fontId="32" fillId="15" borderId="117" xfId="2" applyFont="1" applyFill="1" applyBorder="1" applyAlignment="1">
      <alignment horizontal="center" vertical="top"/>
    </xf>
    <xf numFmtId="0" fontId="21" fillId="0" borderId="104" xfId="2" applyBorder="1" applyAlignment="1">
      <alignment horizontal="center" vertical="top"/>
    </xf>
    <xf numFmtId="0" fontId="21" fillId="0" borderId="118" xfId="2" applyBorder="1" applyAlignment="1">
      <alignment horizontal="center" vertical="top"/>
    </xf>
    <xf numFmtId="4" fontId="58" fillId="0" borderId="10" xfId="28" applyNumberFormat="1" applyFont="1" applyBorder="1" applyAlignment="1"/>
    <xf numFmtId="0" fontId="21" fillId="0" borderId="11" xfId="2" applyFont="1" applyBorder="1" applyAlignment="1"/>
    <xf numFmtId="0" fontId="21" fillId="0" borderId="12" xfId="2" applyFont="1" applyBorder="1" applyAlignment="1"/>
    <xf numFmtId="0" fontId="34" fillId="8" borderId="113" xfId="2" applyFont="1" applyFill="1" applyBorder="1" applyAlignment="1">
      <alignment vertical="top" wrapText="1"/>
    </xf>
    <xf numFmtId="0" fontId="34" fillId="8" borderId="103" xfId="2" applyFont="1" applyFill="1" applyBorder="1" applyAlignment="1">
      <alignment vertical="top" wrapText="1"/>
    </xf>
    <xf numFmtId="0" fontId="34" fillId="8" borderId="114" xfId="2" applyFont="1" applyFill="1" applyBorder="1" applyAlignment="1">
      <alignment vertical="top" wrapText="1"/>
    </xf>
    <xf numFmtId="0" fontId="37" fillId="0" borderId="58" xfId="2" applyFont="1" applyFill="1" applyBorder="1" applyAlignment="1">
      <alignment horizontal="right" vertical="top"/>
    </xf>
    <xf numFmtId="3" fontId="37" fillId="0" borderId="58" xfId="2" applyNumberFormat="1" applyFont="1" applyFill="1" applyBorder="1" applyAlignment="1" applyProtection="1">
      <alignment horizontal="right" vertical="top"/>
      <protection locked="0"/>
    </xf>
  </cellXfs>
  <cellStyles count="31">
    <cellStyle name="%" xfId="7"/>
    <cellStyle name="Normal" xfId="0" builtinId="0"/>
    <cellStyle name="Normal 10" xfId="14"/>
    <cellStyle name="Normal 11" xfId="15"/>
    <cellStyle name="Normal 11 2" xfId="18"/>
    <cellStyle name="Normal 11 3" xfId="19"/>
    <cellStyle name="Normal 11 3 2" xfId="23"/>
    <cellStyle name="Normal 11 3 2 2" xfId="28"/>
    <cellStyle name="Normal 11 4" xfId="24"/>
    <cellStyle name="Normal 11 4 2" xfId="26"/>
    <cellStyle name="Normal 12" xfId="17"/>
    <cellStyle name="Normal 12 2" xfId="27"/>
    <cellStyle name="Normal 13" xfId="20"/>
    <cellStyle name="Normal 14" xfId="21"/>
    <cellStyle name="Normal 15" xfId="22"/>
    <cellStyle name="Normal 16" xfId="25"/>
    <cellStyle name="Normal 17" xfId="29"/>
    <cellStyle name="Normal 18" xfId="30"/>
    <cellStyle name="Normal 2" xfId="1"/>
    <cellStyle name="Normal 2 2" xfId="2"/>
    <cellStyle name="Normal 3" xfId="3"/>
    <cellStyle name="Normal 4" xfId="4"/>
    <cellStyle name="Normal 5" xfId="5"/>
    <cellStyle name="Normal 5 2" xfId="8"/>
    <cellStyle name="Normal 5 2 2" xfId="10"/>
    <cellStyle name="Normal 6" xfId="6"/>
    <cellStyle name="Normal 6 2" xfId="9"/>
    <cellStyle name="Normal 7" xfId="11"/>
    <cellStyle name="Normal 8" xfId="12"/>
    <cellStyle name="Normal 9" xfId="13"/>
    <cellStyle name="Procent 2" xfId="16"/>
  </cellStyles>
  <dxfs count="0"/>
  <tableStyles count="0" defaultTableStyle="TableStyleMedium9" defaultPivotStyle="PivotStyleLight16"/>
  <colors>
    <mruColors>
      <color rgb="FFCCFF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wmf"/><Relationship Id="rId1" Type="http://schemas.openxmlformats.org/officeDocument/2006/relationships/image" Target="../media/image7.w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2628900</xdr:colOff>
      <xdr:row>0</xdr:row>
      <xdr:rowOff>123825</xdr:rowOff>
    </xdr:from>
    <xdr:to>
      <xdr:col>3</xdr:col>
      <xdr:colOff>285750</xdr:colOff>
      <xdr:row>2</xdr:row>
      <xdr:rowOff>85725</xdr:rowOff>
    </xdr:to>
    <xdr:pic>
      <xdr:nvPicPr>
        <xdr:cNvPr id="8605" name="Picture 112"/>
        <xdr:cNvPicPr>
          <a:picLocks noChangeAspect="1" noChangeArrowheads="1"/>
        </xdr:cNvPicPr>
      </xdr:nvPicPr>
      <xdr:blipFill>
        <a:blip xmlns:r="http://schemas.openxmlformats.org/officeDocument/2006/relationships" r:embed="rId1" cstate="print"/>
        <a:srcRect/>
        <a:stretch>
          <a:fillRect/>
        </a:stretch>
      </xdr:blipFill>
      <xdr:spPr bwMode="auto">
        <a:xfrm>
          <a:off x="4057650" y="123825"/>
          <a:ext cx="1514475" cy="447675"/>
        </a:xfrm>
        <a:prstGeom prst="rect">
          <a:avLst/>
        </a:prstGeom>
        <a:noFill/>
        <a:ln w="9525">
          <a:noFill/>
          <a:miter lim="800000"/>
          <a:headEnd/>
          <a:tailEnd/>
        </a:ln>
      </xdr:spPr>
    </xdr:pic>
    <xdr:clientData/>
  </xdr:twoCellAnchor>
  <xdr:twoCellAnchor>
    <xdr:from>
      <xdr:col>1</xdr:col>
      <xdr:colOff>342900</xdr:colOff>
      <xdr:row>0</xdr:row>
      <xdr:rowOff>47625</xdr:rowOff>
    </xdr:from>
    <xdr:to>
      <xdr:col>1</xdr:col>
      <xdr:colOff>1247775</xdr:colOff>
      <xdr:row>2</xdr:row>
      <xdr:rowOff>28575</xdr:rowOff>
    </xdr:to>
    <xdr:pic>
      <xdr:nvPicPr>
        <xdr:cNvPr id="8606" name="Picture 1520" descr="PTS logotype"/>
        <xdr:cNvPicPr>
          <a:picLocks noChangeAspect="1" noChangeArrowheads="1"/>
        </xdr:cNvPicPr>
      </xdr:nvPicPr>
      <xdr:blipFill>
        <a:blip xmlns:r="http://schemas.openxmlformats.org/officeDocument/2006/relationships" r:embed="rId2" cstate="print"/>
        <a:srcRect/>
        <a:stretch>
          <a:fillRect/>
        </a:stretch>
      </xdr:blipFill>
      <xdr:spPr bwMode="auto">
        <a:xfrm>
          <a:off x="1771650" y="47625"/>
          <a:ext cx="904875" cy="466725"/>
        </a:xfrm>
        <a:prstGeom prst="rect">
          <a:avLst/>
        </a:prstGeom>
        <a:noFill/>
        <a:ln w="9525">
          <a:noFill/>
          <a:miter lim="800000"/>
          <a:headEnd/>
          <a:tailEnd/>
        </a:ln>
      </xdr:spPr>
    </xdr:pic>
    <xdr:clientData/>
  </xdr:twoCellAnchor>
  <xdr:twoCellAnchor>
    <xdr:from>
      <xdr:col>3</xdr:col>
      <xdr:colOff>400050</xdr:colOff>
      <xdr:row>0</xdr:row>
      <xdr:rowOff>228600</xdr:rowOff>
    </xdr:from>
    <xdr:to>
      <xdr:col>3</xdr:col>
      <xdr:colOff>1019175</xdr:colOff>
      <xdr:row>2</xdr:row>
      <xdr:rowOff>152400</xdr:rowOff>
    </xdr:to>
    <xdr:pic>
      <xdr:nvPicPr>
        <xdr:cNvPr id="6" name="Bildobjekt 0" descr="Trafikanalys_RGB.png"/>
        <xdr:cNvPicPr>
          <a:picLocks noChangeAspect="1" noChangeArrowheads="1"/>
        </xdr:cNvPicPr>
      </xdr:nvPicPr>
      <xdr:blipFill>
        <a:blip xmlns:r="http://schemas.openxmlformats.org/officeDocument/2006/relationships" r:embed="rId3" cstate="print"/>
        <a:srcRect/>
        <a:stretch>
          <a:fillRect/>
        </a:stretch>
      </xdr:blipFill>
      <xdr:spPr bwMode="auto">
        <a:xfrm>
          <a:off x="5686425" y="228600"/>
          <a:ext cx="619125" cy="4095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269875</xdr:colOff>
      <xdr:row>10</xdr:row>
      <xdr:rowOff>38514</xdr:rowOff>
    </xdr:from>
    <xdr:to>
      <xdr:col>5</xdr:col>
      <xdr:colOff>539750</xdr:colOff>
      <xdr:row>44</xdr:row>
      <xdr:rowOff>119063</xdr:rowOff>
    </xdr:to>
    <xdr:sp macro="" textlink="">
      <xdr:nvSpPr>
        <xdr:cNvPr id="14346" name="Rectangle 10"/>
        <xdr:cNvSpPr>
          <a:spLocks noChangeArrowheads="1"/>
        </xdr:cNvSpPr>
      </xdr:nvSpPr>
      <xdr:spPr bwMode="auto">
        <a:xfrm>
          <a:off x="4452938" y="1983202"/>
          <a:ext cx="2833687" cy="8152986"/>
        </a:xfrm>
        <a:prstGeom prst="rect">
          <a:avLst/>
        </a:prstGeom>
        <a:solidFill>
          <a:schemeClr val="bg1"/>
        </a:solidFill>
        <a:ln w="9525">
          <a:noFill/>
          <a:miter lim="800000"/>
          <a:headEnd/>
          <a:tailEnd/>
        </a:ln>
      </xdr:spPr>
      <xdr:txBody>
        <a:bodyPr vertOverflow="clip" wrap="square" lIns="27432" tIns="18288" rIns="0" bIns="0" anchor="t" upright="1"/>
        <a:lstStyle/>
        <a:p>
          <a:r>
            <a:rPr lang="sv-SE" sz="800" b="1">
              <a:solidFill>
                <a:sysClr val="windowText" lastClr="000000"/>
              </a:solidFill>
              <a:latin typeface="Verdana" pitchFamily="34" charset="0"/>
              <a:ea typeface="+mn-ea"/>
              <a:cs typeface="+mn-cs"/>
            </a:rPr>
            <a:t>Sekretess</a:t>
          </a:r>
          <a:endParaRPr lang="sv-SE" sz="800">
            <a:solidFill>
              <a:sysClr val="windowText" lastClr="000000"/>
            </a:solidFill>
            <a:latin typeface="Verdana"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latin typeface="Garamond" pitchFamily="18" charset="0"/>
              <a:ea typeface="+mn-ea"/>
              <a:cs typeface="+mn-cs"/>
            </a:rPr>
            <a:t>PTS kan med stöd av 30 kap. 23 § offentlighets- och sekretesslagen (2009:400), 9 § offentlighets- och sekretessförordningen (2009:641) och punkten 99 i bilagan till offentlighets- och sekretessförordningen besluta att uppgifter om enskilds affärs- eller driftsförhållanden ska omfattas av sekretess om det kan antas att den enskilde lider skada om uppgiften lämnas ut. De uppgifter som samlas in inom ramen för denna enkät bedöms normalt inte omfattas av sekretess.</a:t>
          </a:r>
        </a:p>
        <a:p>
          <a:pPr marL="0" marR="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latin typeface="Garamond" pitchFamily="18" charset="0"/>
              <a:ea typeface="+mn-ea"/>
              <a:cs typeface="+mn-cs"/>
            </a:rPr>
            <a:t>Om uppgiftslämnaren anser att en viss uppgift omfattas av sekretess och inte ska publiceras eller lämnas ut bör skälen för detta anges till PTS i samband med inlämnandet av uppgiften. Det är PTS som i varje enskilt fall avgör om uppgiften är sådan att den omfattas av sekretess. PTS beslut att inte lämna ut uppgifter kan prövas i Kammarrätten. </a:t>
          </a:r>
        </a:p>
        <a:p>
          <a:pPr marL="0" marR="0" indent="0" defTabSz="914400" eaLnBrk="1" fontAlgn="auto" latinLnBrk="0" hangingPunct="1">
            <a:lnSpc>
              <a:spcPct val="100000"/>
            </a:lnSpc>
            <a:spcBef>
              <a:spcPts val="0"/>
            </a:spcBef>
            <a:spcAft>
              <a:spcPts val="0"/>
            </a:spcAft>
            <a:buClrTx/>
            <a:buSzTx/>
            <a:buFontTx/>
            <a:buNone/>
            <a:tabLst/>
            <a:defRPr/>
          </a:pPr>
          <a:endParaRPr lang="sv-SE" sz="800">
            <a:solidFill>
              <a:sysClr val="windowText" lastClr="000000"/>
            </a:solidFill>
            <a:latin typeface="Garamond" pitchFamily="18" charset="0"/>
            <a:ea typeface="+mn-ea"/>
            <a:cs typeface="+mn-cs"/>
          </a:endParaRPr>
        </a:p>
        <a:p>
          <a:r>
            <a:rPr lang="sv-SE" sz="800" b="1">
              <a:solidFill>
                <a:sysClr val="windowText" lastClr="000000"/>
              </a:solidFill>
              <a:latin typeface="Verdana" pitchFamily="34" charset="0"/>
              <a:ea typeface="+mn-ea"/>
              <a:cs typeface="+mn-cs"/>
            </a:rPr>
            <a:t>Årsavgift för 2020</a:t>
          </a:r>
        </a:p>
        <a:p>
          <a:r>
            <a:rPr lang="sv-SE" sz="800">
              <a:solidFill>
                <a:sysClr val="windowText" lastClr="000000"/>
              </a:solidFill>
              <a:latin typeface="Garamond" pitchFamily="18" charset="0"/>
              <a:ea typeface="+mn-ea"/>
              <a:cs typeface="+mn-cs"/>
            </a:rPr>
            <a:t>PTS styrelse fastställde den 12 december 2019 nivån på 2020 års avgifter. Avgifterna framgår i PTS föreskrifter om avgifter (PTSFS 2019:3). Föreskrifterna finns tillgängliga på myndighetens hemsida.</a:t>
          </a:r>
        </a:p>
        <a:p>
          <a:endParaRPr lang="sv-SE" sz="800">
            <a:solidFill>
              <a:sysClr val="windowText" lastClr="000000"/>
            </a:solidFill>
            <a:latin typeface="Garamond" pitchFamily="18" charset="0"/>
            <a:ea typeface="+mn-ea"/>
            <a:cs typeface="+mn-cs"/>
          </a:endParaRPr>
        </a:p>
        <a:p>
          <a:r>
            <a:rPr lang="sv-SE" sz="800" b="1">
              <a:solidFill>
                <a:sysClr val="windowText" lastClr="000000"/>
              </a:solidFill>
              <a:latin typeface="Verdana" pitchFamily="34" charset="0"/>
              <a:ea typeface="+mn-ea"/>
              <a:cs typeface="+mn-cs"/>
            </a:rPr>
            <a:t>GDPR</a:t>
          </a:r>
          <a:r>
            <a:rPr lang="sv-SE" sz="800" b="1">
              <a:solidFill>
                <a:sysClr val="windowText" lastClr="000000"/>
              </a:solidFill>
              <a:latin typeface="Garamond" pitchFamily="18" charset="0"/>
              <a:ea typeface="+mn-ea"/>
              <a:cs typeface="+mn-cs"/>
            </a:rPr>
            <a:t> </a:t>
          </a:r>
        </a:p>
        <a:p>
          <a:pPr eaLnBrk="1" fontAlgn="auto" latinLnBrk="0" hangingPunct="1"/>
          <a:r>
            <a:rPr lang="sv-SE" sz="800">
              <a:solidFill>
                <a:sysClr val="windowText" lastClr="000000"/>
              </a:solidFill>
              <a:latin typeface="Garamond" pitchFamily="18" charset="0"/>
              <a:ea typeface="+mn-ea"/>
              <a:cs typeface="+mn-cs"/>
            </a:rPr>
            <a:t>De personuppgifter som behandlas av PTS är kontaktinformation (namn, e-postadress, mobilnummer). Syftet med personuppgiftsbehandlingen är att samla in de uppgifter som PTS behöver för att kunna genomföra uppdraget att följa tjänsteutvecklingen inom området elektronisk kommunikation (statistiken redovisas i rapporten Svensk telekommarknad). </a:t>
          </a:r>
        </a:p>
        <a:p>
          <a:pPr eaLnBrk="1" fontAlgn="auto" latinLnBrk="0" hangingPunct="1"/>
          <a:r>
            <a:rPr lang="sv-SE" sz="800">
              <a:solidFill>
                <a:sysClr val="windowText" lastClr="000000"/>
              </a:solidFill>
              <a:latin typeface="Garamond" pitchFamily="18" charset="0"/>
              <a:ea typeface="+mn-ea"/>
              <a:cs typeface="+mn-cs"/>
            </a:rPr>
            <a:t>Läs mer om GPDR: http://www.statistik.pts.se/svensk-telekommarknad/gdpr/</a:t>
          </a:r>
        </a:p>
        <a:p>
          <a:endParaRPr lang="sv-SE" sz="800">
            <a:solidFill>
              <a:srgbClr val="FF0000"/>
            </a:solidFill>
            <a:latin typeface="Garamond" pitchFamily="18" charset="0"/>
            <a:ea typeface="+mn-ea"/>
            <a:cs typeface="+mn-cs"/>
          </a:endParaRPr>
        </a:p>
        <a:p>
          <a:r>
            <a:rPr lang="sv-SE" sz="800" b="1">
              <a:solidFill>
                <a:sysClr val="windowText" lastClr="000000"/>
              </a:solidFill>
              <a:latin typeface="Verdana" pitchFamily="34" charset="0"/>
              <a:ea typeface="+mn-ea"/>
              <a:cs typeface="+mn-cs"/>
            </a:rPr>
            <a:t>Definitioner och tips inför ifyllandet</a:t>
          </a:r>
          <a:endParaRPr lang="sv-SE" sz="800">
            <a:solidFill>
              <a:sysClr val="windowText" lastClr="000000"/>
            </a:solidFill>
            <a:latin typeface="Verdana" pitchFamily="34" charset="0"/>
            <a:ea typeface="+mn-ea"/>
            <a:cs typeface="+mn-cs"/>
          </a:endParaRPr>
        </a:p>
        <a:p>
          <a:r>
            <a:rPr lang="sv-SE" sz="800">
              <a:solidFill>
                <a:sysClr val="windowText" lastClr="000000"/>
              </a:solidFill>
              <a:latin typeface="Garamond" pitchFamily="18" charset="0"/>
              <a:ea typeface="+mn-ea"/>
              <a:cs typeface="+mn-cs"/>
            </a:rPr>
            <a:t>Där det i enkäten efterfrågas uppgifter särredovisade för kategorierna privat- respektive företagstjänster, definieras kategoritillhörigheten av vem som betalar för tjänsten, oavsett vem som är användare. Kriteriet för att definieras som företag (inklusive organisationer) är att man har ett organisationsnummer. Övriga definieras som privatpersoner.</a:t>
          </a:r>
        </a:p>
        <a:p>
          <a:r>
            <a:rPr lang="sv-SE" sz="800">
              <a:solidFill>
                <a:sysClr val="windowText" lastClr="000000"/>
              </a:solidFill>
              <a:latin typeface="Garamond" pitchFamily="18" charset="0"/>
              <a:ea typeface="+mn-ea"/>
              <a:cs typeface="+mn-cs"/>
            </a:rPr>
            <a:t>Om en tjänst erbjuds men svar inte kan lämnas ska en förklaring lämnas om varför inte svar kan ges. Intäkter för både privat- och företagstjänster ska vara redovisade exklusive mervärdesskatt (moms).</a:t>
          </a:r>
        </a:p>
        <a:p>
          <a:r>
            <a:rPr lang="sv-SE" sz="800">
              <a:solidFill>
                <a:sysClr val="windowText" lastClr="000000"/>
              </a:solidFill>
              <a:latin typeface="Garamond" pitchFamily="18" charset="0"/>
              <a:ea typeface="+mn-ea"/>
              <a:cs typeface="+mn-cs"/>
            </a:rPr>
            <a:t>Försäljning som sker via återförsäljare ska inte inkluderas i de fall då slutkundsdata efterfrågas. </a:t>
          </a:r>
        </a:p>
        <a:p>
          <a:r>
            <a:rPr lang="sv-SE" sz="800">
              <a:solidFill>
                <a:sysClr val="windowText" lastClr="000000"/>
              </a:solidFill>
              <a:latin typeface="Garamond" pitchFamily="18" charset="0"/>
              <a:ea typeface="+mn-ea"/>
              <a:cs typeface="+mn-cs"/>
            </a:rPr>
            <a:t>. </a:t>
          </a:r>
        </a:p>
        <a:p>
          <a:endParaRPr lang="sv-SE" sz="800">
            <a:solidFill>
              <a:sysClr val="windowText" lastClr="000000"/>
            </a:solidFill>
            <a:latin typeface="Garamond" pitchFamily="18" charset="0"/>
            <a:ea typeface="+mn-ea"/>
            <a:cs typeface="+mn-cs"/>
          </a:endParaRPr>
        </a:p>
        <a:p>
          <a:pPr algn="ctr"/>
          <a:r>
            <a:rPr lang="sv-SE" sz="800" b="1">
              <a:solidFill>
                <a:sysClr val="windowText" lastClr="000000"/>
              </a:solidFill>
              <a:latin typeface="Garamond" pitchFamily="18" charset="0"/>
              <a:ea typeface="+mn-ea"/>
              <a:cs typeface="+mn-cs"/>
            </a:rPr>
            <a:t>FRÅGEFORMULÄRET </a:t>
          </a:r>
          <a:r>
            <a:rPr lang="sv-SE" sz="800" b="1" baseline="0">
              <a:solidFill>
                <a:sysClr val="windowText" lastClr="000000"/>
              </a:solidFill>
              <a:latin typeface="Garamond" pitchFamily="18" charset="0"/>
              <a:ea typeface="+mn-ea"/>
              <a:cs typeface="+mn-cs"/>
            </a:rPr>
            <a:t> SKA VARA PTS TILLHANDA </a:t>
          </a:r>
          <a:r>
            <a:rPr lang="sv-SE" sz="800" b="1" u="sng" baseline="0">
              <a:solidFill>
                <a:sysClr val="windowText" lastClr="000000"/>
              </a:solidFill>
              <a:latin typeface="Garamond" pitchFamily="18" charset="0"/>
              <a:ea typeface="+mn-ea"/>
              <a:cs typeface="+mn-cs"/>
            </a:rPr>
            <a:t>SENAST  DEN  20 FEBRUARI 2020</a:t>
          </a:r>
          <a:endParaRPr lang="sv-SE" sz="800" b="1" u="sng">
            <a:solidFill>
              <a:sysClr val="windowText" lastClr="000000"/>
            </a:solidFill>
            <a:latin typeface="Garamond" pitchFamily="18" charset="0"/>
            <a:ea typeface="+mn-ea"/>
            <a:cs typeface="+mn-cs"/>
          </a:endParaRPr>
        </a:p>
        <a:p>
          <a:endParaRPr lang="sv-SE" sz="800" b="1">
            <a:solidFill>
              <a:sysClr val="windowText" lastClr="000000"/>
            </a:solidFill>
            <a:latin typeface="Garamond" pitchFamily="18" charset="0"/>
            <a:ea typeface="+mn-ea"/>
            <a:cs typeface="+mn-cs"/>
          </a:endParaRPr>
        </a:p>
        <a:p>
          <a:r>
            <a:rPr lang="sv-SE" sz="800" b="1">
              <a:solidFill>
                <a:sysClr val="windowText" lastClr="000000"/>
              </a:solidFill>
              <a:latin typeface="Verdana" pitchFamily="34" charset="0"/>
              <a:ea typeface="+mn-ea"/>
              <a:cs typeface="+mn-cs"/>
            </a:rPr>
            <a:t>Kontaktperson</a:t>
          </a:r>
          <a:endParaRPr lang="sv-SE" sz="800">
            <a:solidFill>
              <a:sysClr val="windowText" lastClr="000000"/>
            </a:solidFill>
            <a:latin typeface="Verdana" pitchFamily="34" charset="0"/>
            <a:ea typeface="+mn-ea"/>
            <a:cs typeface="+mn-cs"/>
          </a:endParaRPr>
        </a:p>
        <a:p>
          <a:r>
            <a:rPr lang="sv-SE" sz="800">
              <a:solidFill>
                <a:sysClr val="windowText" lastClr="000000"/>
              </a:solidFill>
              <a:latin typeface="Garamond" pitchFamily="18" charset="0"/>
              <a:ea typeface="+mn-ea"/>
              <a:cs typeface="+mn-cs"/>
            </a:rPr>
            <a:t>Om ni har frågor, kontakta: </a:t>
          </a:r>
          <a:r>
            <a:rPr lang="sv-SE" sz="800" baseline="0">
              <a:solidFill>
                <a:sysClr val="windowText" lastClr="000000"/>
              </a:solidFill>
              <a:latin typeface="Garamond" pitchFamily="18" charset="0"/>
              <a:ea typeface="+mn-ea"/>
              <a:cs typeface="+mn-cs"/>
            </a:rPr>
            <a:t>Karin Fransén </a:t>
          </a:r>
          <a:r>
            <a:rPr lang="sv-SE" sz="800">
              <a:solidFill>
                <a:sysClr val="windowText" lastClr="000000"/>
              </a:solidFill>
              <a:latin typeface="Garamond" pitchFamily="18" charset="0"/>
              <a:ea typeface="+mn-ea"/>
              <a:cs typeface="+mn-cs"/>
            </a:rPr>
            <a:t>(PTS) 08-678 55</a:t>
          </a:r>
          <a:r>
            <a:rPr lang="sv-SE" sz="800" baseline="0">
              <a:solidFill>
                <a:sysClr val="windowText" lastClr="000000"/>
              </a:solidFill>
              <a:latin typeface="Garamond" pitchFamily="18" charset="0"/>
              <a:ea typeface="+mn-ea"/>
              <a:cs typeface="+mn-cs"/>
            </a:rPr>
            <a:t> 00</a:t>
          </a:r>
          <a:r>
            <a:rPr lang="sv-SE" sz="800">
              <a:solidFill>
                <a:sysClr val="windowText" lastClr="000000"/>
              </a:solidFill>
              <a:latin typeface="Garamond" pitchFamily="18" charset="0"/>
              <a:ea typeface="+mn-ea"/>
              <a:cs typeface="+mn-cs"/>
            </a:rPr>
            <a:t>  eller via e-post: e-komstat@pts.se</a:t>
          </a:r>
          <a:endParaRPr lang="sv-SE" sz="800">
            <a:solidFill>
              <a:sysClr val="windowText" lastClr="000000"/>
            </a:solidFill>
            <a:latin typeface="Garamond" pitchFamily="18" charset="0"/>
          </a:endParaRPr>
        </a:p>
        <a:p>
          <a:pPr algn="l" rtl="0">
            <a:defRPr sz="1000"/>
          </a:pPr>
          <a:endParaRPr lang="sv-SE" sz="800" b="0" i="0" strike="noStrike">
            <a:solidFill>
              <a:srgbClr val="000000"/>
            </a:solidFill>
            <a:latin typeface="Garamond" pitchFamily="18" charset="0"/>
          </a:endParaRPr>
        </a:p>
      </xdr:txBody>
    </xdr:sp>
    <xdr:clientData/>
  </xdr:twoCellAnchor>
  <xdr:twoCellAnchor>
    <xdr:from>
      <xdr:col>1</xdr:col>
      <xdr:colOff>60614</xdr:colOff>
      <xdr:row>10</xdr:row>
      <xdr:rowOff>28570</xdr:rowOff>
    </xdr:from>
    <xdr:to>
      <xdr:col>3</xdr:col>
      <xdr:colOff>224936</xdr:colOff>
      <xdr:row>44</xdr:row>
      <xdr:rowOff>119063</xdr:rowOff>
    </xdr:to>
    <xdr:sp macro="" textlink="">
      <xdr:nvSpPr>
        <xdr:cNvPr id="14350" name="Rectangle 14"/>
        <xdr:cNvSpPr>
          <a:spLocks noChangeArrowheads="1"/>
        </xdr:cNvSpPr>
      </xdr:nvSpPr>
      <xdr:spPr bwMode="auto">
        <a:xfrm>
          <a:off x="1489364" y="1973258"/>
          <a:ext cx="2918635" cy="8321680"/>
        </a:xfrm>
        <a:prstGeom prst="rect">
          <a:avLst/>
        </a:prstGeom>
        <a:solidFill>
          <a:schemeClr val="bg1"/>
        </a:solidFill>
        <a:ln w="9525">
          <a:noFill/>
          <a:miter lim="800000"/>
          <a:headEnd/>
          <a:tailEnd/>
        </a:ln>
      </xdr:spPr>
      <xdr:txBody>
        <a:bodyPr vertOverflow="clip" wrap="square" lIns="27432" tIns="18288" rIns="0" bIns="0" anchor="t" upright="1"/>
        <a:lstStyle/>
        <a:p>
          <a:r>
            <a:rPr lang="sv-SE" sz="800" b="1">
              <a:solidFill>
                <a:sysClr val="windowText" lastClr="000000"/>
              </a:solidFill>
              <a:latin typeface="Verdana" pitchFamily="34" charset="0"/>
              <a:ea typeface="+mn-ea"/>
              <a:cs typeface="+mn-cs"/>
            </a:rPr>
            <a:t>Syfte</a:t>
          </a:r>
          <a:endParaRPr lang="sv-SE" sz="800">
            <a:solidFill>
              <a:sysClr val="windowText" lastClr="000000"/>
            </a:solidFill>
            <a:latin typeface="Verdana" pitchFamily="34" charset="0"/>
            <a:ea typeface="+mn-ea"/>
            <a:cs typeface="+mn-cs"/>
          </a:endParaRPr>
        </a:p>
        <a:p>
          <a:pPr marL="0" indent="0"/>
          <a:r>
            <a:rPr lang="sv-SE" sz="800">
              <a:solidFill>
                <a:sysClr val="windowText" lastClr="000000"/>
              </a:solidFill>
              <a:latin typeface="Garamond" pitchFamily="18" charset="0"/>
              <a:ea typeface="+mn-ea"/>
              <a:cs typeface="+mn-cs"/>
            </a:rPr>
            <a:t>Syftet med undersökningen är att Post- och telestyrelsen (PTS) ska få in uppgifter till rapporten Svensk telekommarknad som avser att bidra till ökad kunskap om marknaden för elektronisk kommunikation i Sverige samt att ta fram officiell statistik för branschen. Därutöver behöver PTS samla in uppgifter som ska ligga till grund för de marknadsanalyser som myndigheten är skyldig enligt lag och förordning att genomföra och eventuella beslut om betydande marknadsinflytande (SMP) samt andra analyser. </a:t>
          </a:r>
        </a:p>
        <a:p>
          <a:pPr marL="0" indent="0"/>
          <a:r>
            <a:rPr lang="sv-SE" sz="800">
              <a:solidFill>
                <a:sysClr val="windowText" lastClr="000000"/>
              </a:solidFill>
              <a:latin typeface="Garamond" pitchFamily="18" charset="0"/>
              <a:ea typeface="+mn-ea"/>
              <a:cs typeface="+mn-cs"/>
            </a:rPr>
            <a:t>Insamlingen av statistik över teleområdet är sedan 1995 ett gemensamt projekt mellan PTS, Trafikanalys och Statistiska centralbyrån (SCB). Samarbetet syftar bland annat till att underlätta för uppgiftslämnarna genom att antalet utsända enkäter minskar och att gemensamma definitioner används</a:t>
          </a:r>
          <a:r>
            <a:rPr lang="sv-SE" sz="1100">
              <a:effectLst/>
              <a:latin typeface="+mn-lt"/>
              <a:ea typeface="+mn-ea"/>
              <a:cs typeface="+mn-cs"/>
            </a:rPr>
            <a:t>. </a:t>
          </a:r>
        </a:p>
        <a:p>
          <a:endParaRPr lang="sv-SE" sz="800" b="1">
            <a:solidFill>
              <a:sysClr val="windowText" lastClr="000000"/>
            </a:solidFill>
            <a:latin typeface="Garamond" pitchFamily="18" charset="0"/>
            <a:ea typeface="+mn-ea"/>
            <a:cs typeface="+mn-cs"/>
          </a:endParaRPr>
        </a:p>
        <a:p>
          <a:r>
            <a:rPr lang="sv-SE" sz="800" b="1">
              <a:solidFill>
                <a:sysClr val="windowText" lastClr="000000"/>
              </a:solidFill>
              <a:latin typeface="Verdana" pitchFamily="34" charset="0"/>
              <a:ea typeface="+mn-ea"/>
              <a:cs typeface="+mn-cs"/>
            </a:rPr>
            <a:t>Användning och publicering av lämnade uppgifter</a:t>
          </a:r>
          <a:endParaRPr lang="sv-SE" sz="800">
            <a:solidFill>
              <a:sysClr val="windowText" lastClr="000000"/>
            </a:solidFill>
            <a:latin typeface="Verdana" pitchFamily="34" charset="0"/>
            <a:ea typeface="+mn-ea"/>
            <a:cs typeface="+mn-cs"/>
          </a:endParaRPr>
        </a:p>
        <a:p>
          <a:r>
            <a:rPr lang="sv-SE" sz="800">
              <a:solidFill>
                <a:sysClr val="windowText" lastClr="000000"/>
              </a:solidFill>
              <a:latin typeface="Garamond" pitchFamily="18" charset="0"/>
              <a:ea typeface="+mn-ea"/>
              <a:cs typeface="+mn-cs"/>
            </a:rPr>
            <a:t>PTS kommer att använda uppgifterna i rapporten "Svensk telekommarknad 2019" som publiceras andra kvartalet 2020. Rapporten kommer att publiceras på PTS webbplats, www.pts.se och på PTS statistikportal statistik.pts.se. PTS kommer vidare att använda uppgifterna till de marknadsanalyser och beslut som PTS fortlöpande genomför enligt 8 kap. 5 och 6 §§ lagen (2003:389) om elektronisk kommunikation (LEK). </a:t>
          </a:r>
        </a:p>
        <a:p>
          <a:r>
            <a:rPr lang="sv-SE" sz="800">
              <a:solidFill>
                <a:sysClr val="windowText" lastClr="000000"/>
              </a:solidFill>
              <a:latin typeface="Garamond" pitchFamily="18" charset="0"/>
              <a:ea typeface="+mn-ea"/>
              <a:cs typeface="+mn-cs"/>
            </a:rPr>
            <a:t>De uppgifter som PTS kommer att använda som underlag för rapporten "Svensk telekommarknad" och statistikportalen avser så gott som alla frågor, med undantag av frågan som rör "Antal aktiva kontraktsabonnemang på mobiltelefoni och mobil data fördelat på datamängd". </a:t>
          </a:r>
        </a:p>
        <a:p>
          <a:r>
            <a:rPr lang="sv-SE" sz="800">
              <a:solidFill>
                <a:sysClr val="windowText" lastClr="000000"/>
              </a:solidFill>
              <a:latin typeface="Garamond" pitchFamily="18" charset="0"/>
              <a:ea typeface="+mn-ea"/>
              <a:cs typeface="+mn-cs"/>
            </a:rPr>
            <a:t>PTS har för avsikt att publicera uppgifter om  enskilda operatörer för i stort sett samtliga uppgifter relaterade till slutkundsmarknader. Uppgifterna rörande enskilda operatörer kan därutöver komma att publiceras i samband med PTS marknadsbedömningar och beslut om betydande marknadsinflytande (SMP). Uppgifterna används även i PTS rapportering till EU Kommissionen. </a:t>
          </a:r>
        </a:p>
        <a:p>
          <a:r>
            <a:rPr lang="sv-SE" sz="800">
              <a:solidFill>
                <a:sysClr val="windowText" lastClr="000000"/>
              </a:solidFill>
              <a:latin typeface="Garamond" pitchFamily="18" charset="0"/>
              <a:ea typeface="+mn-ea"/>
              <a:cs typeface="+mn-cs"/>
            </a:rPr>
            <a:t>Trafikanalys kommer att använda uppgifterna i fråga 1-4 till den officiella statistiken om televerksamhet i Sverige. Sammanställningen Televerksamhet 2019 publiceras hösten 2020 och kommer att finnas tillgänglig på Trafikanalys webbplats, www.trafa.se. I den årliga sammanställningen Televerksamhet anges inga marknadsandelar för enskilda operatörer. </a:t>
          </a:r>
        </a:p>
        <a:p>
          <a:endParaRPr lang="sv-SE" sz="800">
            <a:solidFill>
              <a:srgbClr val="FF0000"/>
            </a:solidFill>
            <a:latin typeface="Garamond" pitchFamily="18" charset="0"/>
            <a:ea typeface="+mn-ea"/>
            <a:cs typeface="+mn-cs"/>
          </a:endParaRPr>
        </a:p>
        <a:p>
          <a:endParaRPr lang="sv-SE" sz="800">
            <a:solidFill>
              <a:sysClr val="windowText" lastClr="000000"/>
            </a:solidFill>
            <a:latin typeface="Garamond" pitchFamily="18" charset="0"/>
            <a:ea typeface="+mn-ea"/>
            <a:cs typeface="+mn-cs"/>
          </a:endParaRPr>
        </a:p>
        <a:p>
          <a:r>
            <a:rPr lang="sv-SE" sz="800" b="1">
              <a:solidFill>
                <a:sysClr val="windowText" lastClr="000000"/>
              </a:solidFill>
              <a:latin typeface="Verdana" pitchFamily="34" charset="0"/>
              <a:ea typeface="+mn-ea"/>
              <a:cs typeface="+mn-cs"/>
            </a:rPr>
            <a:t>Uppgiftsskyldighet</a:t>
          </a:r>
          <a:endParaRPr lang="sv-SE" sz="800">
            <a:solidFill>
              <a:sysClr val="windowText" lastClr="000000"/>
            </a:solidFill>
            <a:latin typeface="Verdana" pitchFamily="34" charset="0"/>
            <a:ea typeface="+mn-ea"/>
            <a:cs typeface="+mn-cs"/>
          </a:endParaRPr>
        </a:p>
        <a:p>
          <a:pPr eaLnBrk="1" fontAlgn="auto" latinLnBrk="0" hangingPunct="1"/>
          <a:r>
            <a:rPr lang="sv-SE" sz="800">
              <a:solidFill>
                <a:sysClr val="windowText" lastClr="000000"/>
              </a:solidFill>
              <a:latin typeface="Garamond" pitchFamily="18" charset="0"/>
              <a:ea typeface="+mn-ea"/>
              <a:cs typeface="+mn-cs"/>
            </a:rPr>
            <a:t>För  För samtliga frågor i enkäten föreligger uppgiftsskyldighet gentemot PTS enligt 8 kap. 1 § LEK samt radioutrustningslagen (2016:392) och lagen (2016:534) om åtgärder för utbyggnad av bredbandsnät . </a:t>
          </a:r>
        </a:p>
        <a:p>
          <a:pPr eaLnBrk="1" fontAlgn="auto" latinLnBrk="0" hangingPunct="1"/>
          <a:r>
            <a:rPr lang="sv-SE" sz="800">
              <a:solidFill>
                <a:sysClr val="windowText" lastClr="000000"/>
              </a:solidFill>
              <a:latin typeface="Garamond" pitchFamily="18" charset="0"/>
              <a:ea typeface="+mn-ea"/>
              <a:cs typeface="+mn-cs"/>
            </a:rPr>
            <a:t>De aktörer som bedriver anmälningspliktig verksamhet är skyldiga att betala vissa avgifter till PTS. Med avgiftsgrundande omsättning avses omsättningen under närmast föregående räkenskapsår i den verksamhet som omfattas av anmälningsplikt enligt 2 kap 1 § LEK.</a:t>
          </a:r>
        </a:p>
        <a:p>
          <a:pPr eaLnBrk="1" fontAlgn="auto" latinLnBrk="0" hangingPunct="1"/>
          <a:r>
            <a:rPr lang="sv-SE" sz="800">
              <a:solidFill>
                <a:sysClr val="windowText" lastClr="000000"/>
              </a:solidFill>
              <a:latin typeface="Garamond" pitchFamily="18" charset="0"/>
              <a:ea typeface="+mn-ea"/>
              <a:cs typeface="+mn-cs"/>
            </a:rPr>
            <a:t>Med stöd av 1 kap. 3 § LEK samt 8 kap. 17 och 18 § samma lag, 5 kap. 1 § lagen (2016:534) om åtgärder för utbyggnad av bredbandsnät  samt 15 §  radioutrustningslagen (2016:392), kan PTS finansiera tillsynsmyndighetens verksamhet enligt respektive lag med avgifter. PTS kan med stöd av 11 § förordningen (2003:767) om finansiering av Post- och telestyrelsens verksamhet samt 37 § förordningen (2003:396) om elektronisk kommunikation föreskriva om avgifter. Frågan om den avgiftsgrundande omsättningen utgör underlag för avgiften och samlas in med stöd av 7 kap. 3 § LEK.</a:t>
          </a:r>
        </a:p>
        <a:p>
          <a:pPr eaLnBrk="1" fontAlgn="auto" latinLnBrk="0" hangingPunct="1"/>
          <a:r>
            <a:rPr lang="sv-SE" sz="800">
              <a:solidFill>
                <a:sysClr val="windowText" lastClr="000000"/>
              </a:solidFill>
              <a:latin typeface="Garamond" pitchFamily="18" charset="0"/>
              <a:ea typeface="+mn-ea"/>
              <a:cs typeface="+mn-cs"/>
            </a:rPr>
            <a:t>För frågorna 1-4 föreligger också uppgiftsskyldighet enligt lagen (2001:99) om den officiella statistiken, förordningen (2001:100) om den officiella statistiken. Svar som inkommer på ovan angivna frågor överförs från PTS till Trafikanalys och SCB. </a:t>
          </a:r>
        </a:p>
        <a:p>
          <a:pPr eaLnBrk="1" fontAlgn="auto" latinLnBrk="0" hangingPunct="1"/>
          <a:endParaRPr lang="sv-SE" sz="800">
            <a:solidFill>
              <a:sysClr val="windowText" lastClr="000000"/>
            </a:solidFill>
            <a:latin typeface="Garamond" pitchFamily="18" charset="0"/>
            <a:ea typeface="+mn-ea"/>
            <a:cs typeface="+mn-cs"/>
          </a:endParaRPr>
        </a:p>
        <a:p>
          <a:pPr eaLnBrk="1" fontAlgn="auto" latinLnBrk="0" hangingPunct="1"/>
          <a:endParaRPr lang="sv-SE" sz="800">
            <a:solidFill>
              <a:sysClr val="windowText" lastClr="000000"/>
            </a:solidFill>
            <a:latin typeface="Garamond" pitchFamily="18" charset="0"/>
            <a:ea typeface="+mn-ea"/>
            <a:cs typeface="+mn-cs"/>
          </a:endParaRPr>
        </a:p>
        <a:p>
          <a:pPr eaLnBrk="1" fontAlgn="auto" latinLnBrk="0" hangingPunct="1"/>
          <a:endParaRPr lang="sv-SE" sz="800">
            <a:solidFill>
              <a:sysClr val="windowText" lastClr="000000"/>
            </a:solidFill>
            <a:latin typeface="Garamond" pitchFamily="18" charset="0"/>
            <a:ea typeface="+mn-ea"/>
            <a:cs typeface="+mn-cs"/>
          </a:endParaRPr>
        </a:p>
        <a:p>
          <a:pPr eaLnBrk="1" fontAlgn="auto" latinLnBrk="0" hangingPunct="1"/>
          <a:endParaRPr lang="sv-SE" sz="800">
            <a:solidFill>
              <a:sysClr val="windowText" lastClr="000000"/>
            </a:solidFill>
            <a:latin typeface="Garamond" pitchFamily="18" charset="0"/>
            <a:ea typeface="+mn-ea"/>
            <a:cs typeface="+mn-cs"/>
          </a:endParaRPr>
        </a:p>
        <a:p>
          <a:pPr eaLnBrk="1" fontAlgn="auto" latinLnBrk="0" hangingPunct="1"/>
          <a:endParaRPr lang="sv-SE" sz="800">
            <a:solidFill>
              <a:sysClr val="windowText" lastClr="000000"/>
            </a:solidFill>
            <a:latin typeface="Garamond" pitchFamily="18" charset="0"/>
            <a:ea typeface="+mn-ea"/>
            <a:cs typeface="+mn-cs"/>
          </a:endParaRPr>
        </a:p>
        <a:p>
          <a:endParaRPr lang="sv-SE" sz="800">
            <a:latin typeface="Garamond" pitchFamily="18" charset="0"/>
            <a:ea typeface="+mn-ea"/>
            <a:cs typeface="+mn-cs"/>
          </a:endParaRPr>
        </a:p>
        <a:p>
          <a:endParaRPr lang="sv-SE" sz="800">
            <a:latin typeface="Garamond" pitchFamily="18" charset="0"/>
            <a:ea typeface="+mn-ea"/>
            <a:cs typeface="+mn-cs"/>
          </a:endParaRPr>
        </a:p>
        <a:p>
          <a:endParaRPr lang="sv-SE" sz="800" b="1">
            <a:latin typeface="Garamond" pitchFamily="18" charset="0"/>
            <a:ea typeface="+mn-ea"/>
            <a:cs typeface="+mn-cs"/>
          </a:endParaRPr>
        </a:p>
        <a:p>
          <a:endParaRPr lang="sv-SE" sz="800">
            <a:latin typeface="Garamond" pitchFamily="18" charset="0"/>
            <a:ea typeface="+mn-ea"/>
            <a:cs typeface="+mn-cs"/>
          </a:endParaRPr>
        </a:p>
      </xdr:txBody>
    </xdr:sp>
    <xdr:clientData/>
  </xdr:twoCellAnchor>
  <xdr:twoCellAnchor>
    <xdr:from>
      <xdr:col>2</xdr:col>
      <xdr:colOff>895350</xdr:colOff>
      <xdr:row>0</xdr:row>
      <xdr:rowOff>28575</xdr:rowOff>
    </xdr:from>
    <xdr:to>
      <xdr:col>4</xdr:col>
      <xdr:colOff>447675</xdr:colOff>
      <xdr:row>2</xdr:row>
      <xdr:rowOff>0</xdr:rowOff>
    </xdr:to>
    <xdr:pic>
      <xdr:nvPicPr>
        <xdr:cNvPr id="9967" name="Picture 112"/>
        <xdr:cNvPicPr>
          <a:picLocks noChangeAspect="1" noChangeArrowheads="1"/>
        </xdr:cNvPicPr>
      </xdr:nvPicPr>
      <xdr:blipFill>
        <a:blip xmlns:r="http://schemas.openxmlformats.org/officeDocument/2006/relationships" r:embed="rId1" cstate="print"/>
        <a:srcRect/>
        <a:stretch>
          <a:fillRect/>
        </a:stretch>
      </xdr:blipFill>
      <xdr:spPr bwMode="auto">
        <a:xfrm>
          <a:off x="3886200" y="28575"/>
          <a:ext cx="1790700" cy="447675"/>
        </a:xfrm>
        <a:prstGeom prst="rect">
          <a:avLst/>
        </a:prstGeom>
        <a:noFill/>
        <a:ln w="9525">
          <a:noFill/>
          <a:miter lim="800000"/>
          <a:headEnd/>
          <a:tailEnd/>
        </a:ln>
      </xdr:spPr>
    </xdr:pic>
    <xdr:clientData/>
  </xdr:twoCellAnchor>
  <xdr:twoCellAnchor>
    <xdr:from>
      <xdr:col>1</xdr:col>
      <xdr:colOff>276225</xdr:colOff>
      <xdr:row>0</xdr:row>
      <xdr:rowOff>28575</xdr:rowOff>
    </xdr:from>
    <xdr:to>
      <xdr:col>1</xdr:col>
      <xdr:colOff>1181100</xdr:colOff>
      <xdr:row>2</xdr:row>
      <xdr:rowOff>19050</xdr:rowOff>
    </xdr:to>
    <xdr:pic>
      <xdr:nvPicPr>
        <xdr:cNvPr id="9968" name="Picture 1520" descr="PTS logotype"/>
        <xdr:cNvPicPr>
          <a:picLocks noChangeAspect="1" noChangeArrowheads="1"/>
        </xdr:cNvPicPr>
      </xdr:nvPicPr>
      <xdr:blipFill>
        <a:blip xmlns:r="http://schemas.openxmlformats.org/officeDocument/2006/relationships" r:embed="rId2" cstate="print"/>
        <a:srcRect/>
        <a:stretch>
          <a:fillRect/>
        </a:stretch>
      </xdr:blipFill>
      <xdr:spPr bwMode="auto">
        <a:xfrm>
          <a:off x="1704975" y="28575"/>
          <a:ext cx="904875" cy="466725"/>
        </a:xfrm>
        <a:prstGeom prst="rect">
          <a:avLst/>
        </a:prstGeom>
        <a:noFill/>
        <a:ln w="9525">
          <a:noFill/>
          <a:miter lim="800000"/>
          <a:headEnd/>
          <a:tailEnd/>
        </a:ln>
      </xdr:spPr>
    </xdr:pic>
    <xdr:clientData/>
  </xdr:twoCellAnchor>
  <xdr:twoCellAnchor>
    <xdr:from>
      <xdr:col>4</xdr:col>
      <xdr:colOff>1011115</xdr:colOff>
      <xdr:row>0</xdr:row>
      <xdr:rowOff>21981</xdr:rowOff>
    </xdr:from>
    <xdr:to>
      <xdr:col>5</xdr:col>
      <xdr:colOff>106240</xdr:colOff>
      <xdr:row>1</xdr:row>
      <xdr:rowOff>145806</xdr:rowOff>
    </xdr:to>
    <xdr:pic>
      <xdr:nvPicPr>
        <xdr:cNvPr id="7" name="Bildobjekt 0" descr="Trafikanalys_RGB.png"/>
        <xdr:cNvPicPr>
          <a:picLocks noChangeAspect="1" noChangeArrowheads="1"/>
        </xdr:cNvPicPr>
      </xdr:nvPicPr>
      <xdr:blipFill>
        <a:blip xmlns:r="http://schemas.openxmlformats.org/officeDocument/2006/relationships" r:embed="rId3" cstate="print"/>
        <a:srcRect/>
        <a:stretch>
          <a:fillRect/>
        </a:stretch>
      </xdr:blipFill>
      <xdr:spPr bwMode="auto">
        <a:xfrm>
          <a:off x="6242538" y="21981"/>
          <a:ext cx="619125" cy="4095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2381250</xdr:colOff>
      <xdr:row>0</xdr:row>
      <xdr:rowOff>76201</xdr:rowOff>
    </xdr:from>
    <xdr:to>
      <xdr:col>1</xdr:col>
      <xdr:colOff>3924300</xdr:colOff>
      <xdr:row>0</xdr:row>
      <xdr:rowOff>670418</xdr:rowOff>
    </xdr:to>
    <xdr:pic>
      <xdr:nvPicPr>
        <xdr:cNvPr id="10652" name="Picture 112"/>
        <xdr:cNvPicPr>
          <a:picLocks noChangeAspect="1" noChangeArrowheads="1"/>
        </xdr:cNvPicPr>
      </xdr:nvPicPr>
      <xdr:blipFill>
        <a:blip xmlns:r="http://schemas.openxmlformats.org/officeDocument/2006/relationships" r:embed="rId1" cstate="print"/>
        <a:srcRect/>
        <a:stretch>
          <a:fillRect/>
        </a:stretch>
      </xdr:blipFill>
      <xdr:spPr bwMode="auto">
        <a:xfrm>
          <a:off x="3810000" y="76201"/>
          <a:ext cx="1543050" cy="594217"/>
        </a:xfrm>
        <a:prstGeom prst="rect">
          <a:avLst/>
        </a:prstGeom>
        <a:noFill/>
        <a:ln w="9525">
          <a:noFill/>
          <a:miter lim="800000"/>
          <a:headEnd/>
          <a:tailEnd/>
        </a:ln>
      </xdr:spPr>
    </xdr:pic>
    <xdr:clientData/>
  </xdr:twoCellAnchor>
  <xdr:twoCellAnchor>
    <xdr:from>
      <xdr:col>1</xdr:col>
      <xdr:colOff>209551</xdr:colOff>
      <xdr:row>0</xdr:row>
      <xdr:rowOff>85725</xdr:rowOff>
    </xdr:from>
    <xdr:to>
      <xdr:col>1</xdr:col>
      <xdr:colOff>866775</xdr:colOff>
      <xdr:row>0</xdr:row>
      <xdr:rowOff>571500</xdr:rowOff>
    </xdr:to>
    <xdr:pic>
      <xdr:nvPicPr>
        <xdr:cNvPr id="10653" name="Picture 1520" descr="PTS logotype"/>
        <xdr:cNvPicPr>
          <a:picLocks noChangeAspect="1" noChangeArrowheads="1"/>
        </xdr:cNvPicPr>
      </xdr:nvPicPr>
      <xdr:blipFill>
        <a:blip xmlns:r="http://schemas.openxmlformats.org/officeDocument/2006/relationships" r:embed="rId2" cstate="print"/>
        <a:srcRect/>
        <a:stretch>
          <a:fillRect/>
        </a:stretch>
      </xdr:blipFill>
      <xdr:spPr bwMode="auto">
        <a:xfrm>
          <a:off x="1638301" y="85725"/>
          <a:ext cx="657224" cy="485775"/>
        </a:xfrm>
        <a:prstGeom prst="rect">
          <a:avLst/>
        </a:prstGeom>
        <a:noFill/>
        <a:ln w="9525">
          <a:noFill/>
          <a:miter lim="800000"/>
          <a:headEnd/>
          <a:tailEnd/>
        </a:ln>
      </xdr:spPr>
    </xdr:pic>
    <xdr:clientData/>
  </xdr:twoCellAnchor>
  <xdr:twoCellAnchor>
    <xdr:from>
      <xdr:col>2</xdr:col>
      <xdr:colOff>552450</xdr:colOff>
      <xdr:row>0</xdr:row>
      <xdr:rowOff>95250</xdr:rowOff>
    </xdr:from>
    <xdr:to>
      <xdr:col>4</xdr:col>
      <xdr:colOff>114299</xdr:colOff>
      <xdr:row>0</xdr:row>
      <xdr:rowOff>647700</xdr:rowOff>
    </xdr:to>
    <xdr:pic>
      <xdr:nvPicPr>
        <xdr:cNvPr id="5" name="Bildobjekt 0" descr="Trafikanalys_RGB.png"/>
        <xdr:cNvPicPr>
          <a:picLocks noChangeAspect="1" noChangeArrowheads="1"/>
        </xdr:cNvPicPr>
      </xdr:nvPicPr>
      <xdr:blipFill>
        <a:blip xmlns:r="http://schemas.openxmlformats.org/officeDocument/2006/relationships" r:embed="rId3" cstate="print"/>
        <a:srcRect/>
        <a:stretch>
          <a:fillRect/>
        </a:stretch>
      </xdr:blipFill>
      <xdr:spPr bwMode="auto">
        <a:xfrm>
          <a:off x="6134100" y="95250"/>
          <a:ext cx="723899" cy="5524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3</xdr:col>
          <xdr:colOff>209550</xdr:colOff>
          <xdr:row>36</xdr:row>
          <xdr:rowOff>66675</xdr:rowOff>
        </xdr:to>
        <xdr:sp macro="" textlink="">
          <xdr:nvSpPr>
            <xdr:cNvPr id="9219" name="Control 3" hidden="1">
              <a:extLst>
                <a:ext uri="{63B3BB69-23CF-44E3-9099-C40C66FF867C}">
                  <a14:compatExt spid="_x0000_s92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3</xdr:col>
          <xdr:colOff>1009650</xdr:colOff>
          <xdr:row>37</xdr:row>
          <xdr:rowOff>28575</xdr:rowOff>
        </xdr:to>
        <xdr:sp macro="" textlink="">
          <xdr:nvSpPr>
            <xdr:cNvPr id="9220" name="Control 4" hidden="1">
              <a:extLst>
                <a:ext uri="{63B3BB69-23CF-44E3-9099-C40C66FF867C}">
                  <a14:compatExt spid="_x0000_s922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0</xdr:colOff>
      <xdr:row>28</xdr:row>
      <xdr:rowOff>9525</xdr:rowOff>
    </xdr:from>
    <xdr:to>
      <xdr:col>5</xdr:col>
      <xdr:colOff>3048</xdr:colOff>
      <xdr:row>31</xdr:row>
      <xdr:rowOff>9525</xdr:rowOff>
    </xdr:to>
    <xdr:sp macro="" textlink="">
      <xdr:nvSpPr>
        <xdr:cNvPr id="2" name="Höger klammerparentes 1"/>
        <xdr:cNvSpPr/>
      </xdr:nvSpPr>
      <xdr:spPr bwMode="auto">
        <a:xfrm>
          <a:off x="9010650" y="7324725"/>
          <a:ext cx="155448" cy="914400"/>
        </a:xfrm>
        <a:prstGeom prst="rightBrac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3705224</xdr:colOff>
      <xdr:row>4</xdr:row>
      <xdr:rowOff>133350</xdr:rowOff>
    </xdr:from>
    <xdr:to>
      <xdr:col>3</xdr:col>
      <xdr:colOff>590549</xdr:colOff>
      <xdr:row>4</xdr:row>
      <xdr:rowOff>1619249</xdr:rowOff>
    </xdr:to>
    <xdr:grpSp>
      <xdr:nvGrpSpPr>
        <xdr:cNvPr id="2" name="Grupp 1"/>
        <xdr:cNvGrpSpPr/>
      </xdr:nvGrpSpPr>
      <xdr:grpSpPr>
        <a:xfrm>
          <a:off x="3916891" y="1604433"/>
          <a:ext cx="2452158" cy="1485899"/>
          <a:chOff x="5886450" y="1495425"/>
          <a:chExt cx="1828800" cy="1514475"/>
        </a:xfrm>
      </xdr:grpSpPr>
      <xdr:pic>
        <xdr:nvPicPr>
          <xdr:cNvPr id="3" name="Picture 2" descr="j0319452"/>
          <xdr:cNvPicPr>
            <a:picLocks noChangeAspect="1" noChangeArrowheads="1"/>
          </xdr:cNvPicPr>
        </xdr:nvPicPr>
        <xdr:blipFill>
          <a:blip xmlns:r="http://schemas.openxmlformats.org/officeDocument/2006/relationships" r:embed="rId1" cstate="print"/>
          <a:srcRect/>
          <a:stretch>
            <a:fillRect/>
          </a:stretch>
        </xdr:blipFill>
        <xdr:spPr bwMode="auto">
          <a:xfrm>
            <a:off x="5886450" y="1495425"/>
            <a:ext cx="1828800" cy="1514475"/>
          </a:xfrm>
          <a:prstGeom prst="rect">
            <a:avLst/>
          </a:prstGeom>
          <a:noFill/>
          <a:ln w="9525">
            <a:noFill/>
            <a:miter lim="800000"/>
            <a:headEnd/>
            <a:tailEnd/>
          </a:ln>
        </xdr:spPr>
      </xdr:pic>
      <xdr:sp macro="" textlink="">
        <xdr:nvSpPr>
          <xdr:cNvPr id="4" name="Rectangle 16"/>
          <xdr:cNvSpPr>
            <a:spLocks noChangeArrowheads="1"/>
          </xdr:cNvSpPr>
        </xdr:nvSpPr>
        <xdr:spPr bwMode="auto">
          <a:xfrm>
            <a:off x="6705600" y="2476500"/>
            <a:ext cx="76200" cy="76200"/>
          </a:xfrm>
          <a:prstGeom prst="rect">
            <a:avLst/>
          </a:prstGeom>
          <a:solidFill>
            <a:srgbClr val="339933"/>
          </a:solidFill>
          <a:ln w="9525">
            <a:solidFill>
              <a:srgbClr val="339933"/>
            </a:solidFill>
            <a:miter lim="800000"/>
            <a:headEnd/>
            <a:tailEnd/>
          </a:ln>
        </xdr:spPr>
      </xdr:sp>
      <xdr:sp macro="" textlink="">
        <xdr:nvSpPr>
          <xdr:cNvPr id="5" name="Rectangle 18"/>
          <xdr:cNvSpPr>
            <a:spLocks noChangeArrowheads="1"/>
          </xdr:cNvSpPr>
        </xdr:nvSpPr>
        <xdr:spPr bwMode="auto">
          <a:xfrm>
            <a:off x="6749028" y="2495550"/>
            <a:ext cx="66675" cy="66675"/>
          </a:xfrm>
          <a:prstGeom prst="rect">
            <a:avLst/>
          </a:prstGeom>
          <a:solidFill>
            <a:srgbClr val="FF0066"/>
          </a:solidFill>
          <a:ln w="9525">
            <a:solidFill>
              <a:srgbClr val="339933"/>
            </a:solidFill>
            <a:miter lim="800000"/>
            <a:headEnd/>
            <a:tailEnd/>
          </a:ln>
        </xdr:spPr>
      </xdr:sp>
    </xdr:grpSp>
    <xdr:clientData/>
  </xdr:twoCellAnchor>
  <xdr:twoCellAnchor>
    <xdr:from>
      <xdr:col>1</xdr:col>
      <xdr:colOff>161925</xdr:colOff>
      <xdr:row>4</xdr:row>
      <xdr:rowOff>114300</xdr:rowOff>
    </xdr:from>
    <xdr:to>
      <xdr:col>2</xdr:col>
      <xdr:colOff>0</xdr:colOff>
      <xdr:row>4</xdr:row>
      <xdr:rowOff>2495550</xdr:rowOff>
    </xdr:to>
    <xdr:grpSp>
      <xdr:nvGrpSpPr>
        <xdr:cNvPr id="6" name="Grupp 5"/>
        <xdr:cNvGrpSpPr/>
      </xdr:nvGrpSpPr>
      <xdr:grpSpPr>
        <a:xfrm>
          <a:off x="373592" y="1585383"/>
          <a:ext cx="4113741" cy="2381250"/>
          <a:chOff x="1562100" y="1266825"/>
          <a:chExt cx="4014174" cy="2381250"/>
        </a:xfrm>
      </xdr:grpSpPr>
      <xdr:pic>
        <xdr:nvPicPr>
          <xdr:cNvPr id="7" name="Picture 1" descr="j0319490"/>
          <xdr:cNvPicPr>
            <a:picLocks noChangeAspect="1" noChangeArrowheads="1"/>
          </xdr:cNvPicPr>
        </xdr:nvPicPr>
        <xdr:blipFill>
          <a:blip xmlns:r="http://schemas.openxmlformats.org/officeDocument/2006/relationships" r:embed="rId2" cstate="print"/>
          <a:srcRect/>
          <a:stretch>
            <a:fillRect/>
          </a:stretch>
        </xdr:blipFill>
        <xdr:spPr bwMode="auto">
          <a:xfrm>
            <a:off x="1562100" y="1266825"/>
            <a:ext cx="2276475" cy="2381250"/>
          </a:xfrm>
          <a:prstGeom prst="rect">
            <a:avLst/>
          </a:prstGeom>
          <a:noFill/>
          <a:ln w="9525">
            <a:noFill/>
            <a:miter lim="800000"/>
            <a:headEnd/>
            <a:tailEnd/>
          </a:ln>
        </xdr:spPr>
      </xdr:pic>
      <xdr:sp macro="" textlink="">
        <xdr:nvSpPr>
          <xdr:cNvPr id="8" name="Text Box 3"/>
          <xdr:cNvSpPr txBox="1">
            <a:spLocks noChangeArrowheads="1"/>
          </xdr:cNvSpPr>
        </xdr:nvSpPr>
        <xdr:spPr bwMode="auto">
          <a:xfrm>
            <a:off x="3743286" y="2276475"/>
            <a:ext cx="1832988" cy="446404"/>
          </a:xfrm>
          <a:prstGeom prst="rect">
            <a:avLst/>
          </a:prstGeom>
          <a:noFill/>
          <a:ln w="9525">
            <a:noFill/>
            <a:miter lim="800000"/>
            <a:headEnd/>
            <a:tailEnd/>
          </a:ln>
          <a:effectLst/>
        </xdr:spPr>
        <xdr:txBody>
          <a:bodyPr wrap="none" lIns="91440" tIns="45720" rIns="91440" bIns="45720" anchor="t" upright="1">
            <a:spAutoFit/>
          </a:bodyPr>
          <a:lstStyle/>
          <a:p>
            <a:pPr algn="l" rtl="0">
              <a:defRPr sz="1000"/>
            </a:pPr>
            <a:r>
              <a:rPr lang="sv-SE" sz="1200" b="0" i="0" u="none" strike="noStrike" baseline="0">
                <a:solidFill>
                  <a:srgbClr val="FF0066"/>
                </a:solidFill>
                <a:latin typeface="Arial"/>
                <a:cs typeface="Arial"/>
              </a:rPr>
              <a:t>Byggnadsanslutning</a:t>
            </a:r>
          </a:p>
          <a:p>
            <a:pPr algn="l" rtl="0">
              <a:defRPr sz="1000"/>
            </a:pPr>
            <a:endParaRPr lang="sv-SE" sz="1200" b="0" i="0" u="none" strike="noStrike" baseline="0">
              <a:solidFill>
                <a:srgbClr val="FF0066"/>
              </a:solidFill>
              <a:latin typeface="Arial"/>
              <a:cs typeface="Arial"/>
            </a:endParaRPr>
          </a:p>
        </xdr:txBody>
      </xdr:sp>
      <xdr:sp macro="" textlink="">
        <xdr:nvSpPr>
          <xdr:cNvPr id="9" name="Freeform 4"/>
          <xdr:cNvSpPr>
            <a:spLocks/>
          </xdr:cNvSpPr>
        </xdr:nvSpPr>
        <xdr:spPr bwMode="auto">
          <a:xfrm>
            <a:off x="2362200" y="3067050"/>
            <a:ext cx="638175" cy="361950"/>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10" name="Freeform 5"/>
          <xdr:cNvSpPr>
            <a:spLocks/>
          </xdr:cNvSpPr>
        </xdr:nvSpPr>
        <xdr:spPr bwMode="auto">
          <a:xfrm>
            <a:off x="2362200" y="2638425"/>
            <a:ext cx="647700" cy="790575"/>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11" name="Freeform 6"/>
          <xdr:cNvSpPr>
            <a:spLocks/>
          </xdr:cNvSpPr>
        </xdr:nvSpPr>
        <xdr:spPr bwMode="auto">
          <a:xfrm>
            <a:off x="2428875" y="2276475"/>
            <a:ext cx="647700" cy="1076325"/>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12" name="Freeform 7"/>
          <xdr:cNvSpPr>
            <a:spLocks/>
          </xdr:cNvSpPr>
        </xdr:nvSpPr>
        <xdr:spPr bwMode="auto">
          <a:xfrm flipH="1">
            <a:off x="3219450" y="3067050"/>
            <a:ext cx="295275" cy="361950"/>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13" name="Freeform 8"/>
          <xdr:cNvSpPr>
            <a:spLocks/>
          </xdr:cNvSpPr>
        </xdr:nvSpPr>
        <xdr:spPr bwMode="auto">
          <a:xfrm flipH="1">
            <a:off x="3219450" y="2638425"/>
            <a:ext cx="295275" cy="790575"/>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14" name="Freeform 9"/>
          <xdr:cNvSpPr>
            <a:spLocks/>
          </xdr:cNvSpPr>
        </xdr:nvSpPr>
        <xdr:spPr bwMode="auto">
          <a:xfrm flipH="1">
            <a:off x="3152775" y="2276475"/>
            <a:ext cx="361950" cy="1076325"/>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15" name="Rectangle 10"/>
          <xdr:cNvSpPr>
            <a:spLocks noChangeArrowheads="1"/>
          </xdr:cNvSpPr>
        </xdr:nvSpPr>
        <xdr:spPr bwMode="auto">
          <a:xfrm>
            <a:off x="2286000" y="3067050"/>
            <a:ext cx="76200" cy="76200"/>
          </a:xfrm>
          <a:prstGeom prst="rect">
            <a:avLst/>
          </a:prstGeom>
          <a:solidFill>
            <a:srgbClr val="339933"/>
          </a:solidFill>
          <a:ln w="9525">
            <a:solidFill>
              <a:srgbClr val="339933"/>
            </a:solidFill>
            <a:miter lim="800000"/>
            <a:headEnd/>
            <a:tailEnd/>
          </a:ln>
        </xdr:spPr>
      </xdr:sp>
      <xdr:sp macro="" textlink="">
        <xdr:nvSpPr>
          <xdr:cNvPr id="16" name="Rectangle 11"/>
          <xdr:cNvSpPr>
            <a:spLocks noChangeArrowheads="1"/>
          </xdr:cNvSpPr>
        </xdr:nvSpPr>
        <xdr:spPr bwMode="auto">
          <a:xfrm>
            <a:off x="2362200" y="2638425"/>
            <a:ext cx="66675" cy="76200"/>
          </a:xfrm>
          <a:prstGeom prst="rect">
            <a:avLst/>
          </a:prstGeom>
          <a:solidFill>
            <a:srgbClr val="339933"/>
          </a:solidFill>
          <a:ln w="9525">
            <a:solidFill>
              <a:srgbClr val="339933"/>
            </a:solidFill>
            <a:miter lim="800000"/>
            <a:headEnd/>
            <a:tailEnd/>
          </a:ln>
        </xdr:spPr>
      </xdr:sp>
      <xdr:sp macro="" textlink="">
        <xdr:nvSpPr>
          <xdr:cNvPr id="17" name="Rectangle 12"/>
          <xdr:cNvSpPr>
            <a:spLocks noChangeArrowheads="1"/>
          </xdr:cNvSpPr>
        </xdr:nvSpPr>
        <xdr:spPr bwMode="auto">
          <a:xfrm>
            <a:off x="2428875" y="2209800"/>
            <a:ext cx="76200" cy="66675"/>
          </a:xfrm>
          <a:prstGeom prst="rect">
            <a:avLst/>
          </a:prstGeom>
          <a:solidFill>
            <a:srgbClr val="339933"/>
          </a:solidFill>
          <a:ln w="9525">
            <a:solidFill>
              <a:srgbClr val="339933"/>
            </a:solidFill>
            <a:miter lim="800000"/>
            <a:headEnd/>
            <a:tailEnd/>
          </a:ln>
        </xdr:spPr>
      </xdr:sp>
      <xdr:sp macro="" textlink="">
        <xdr:nvSpPr>
          <xdr:cNvPr id="18" name="Rectangle 13"/>
          <xdr:cNvSpPr>
            <a:spLocks noChangeArrowheads="1"/>
          </xdr:cNvSpPr>
        </xdr:nvSpPr>
        <xdr:spPr bwMode="auto">
          <a:xfrm>
            <a:off x="3438525" y="2276475"/>
            <a:ext cx="76200" cy="76200"/>
          </a:xfrm>
          <a:prstGeom prst="rect">
            <a:avLst/>
          </a:prstGeom>
          <a:solidFill>
            <a:srgbClr val="339933"/>
          </a:solidFill>
          <a:ln w="9525">
            <a:solidFill>
              <a:srgbClr val="339933"/>
            </a:solidFill>
            <a:miter lim="800000"/>
            <a:headEnd/>
            <a:tailEnd/>
          </a:ln>
        </xdr:spPr>
      </xdr:sp>
      <xdr:sp macro="" textlink="">
        <xdr:nvSpPr>
          <xdr:cNvPr id="19" name="Rectangle 14"/>
          <xdr:cNvSpPr>
            <a:spLocks noChangeArrowheads="1"/>
          </xdr:cNvSpPr>
        </xdr:nvSpPr>
        <xdr:spPr bwMode="auto">
          <a:xfrm>
            <a:off x="3438525" y="2562225"/>
            <a:ext cx="76200" cy="76200"/>
          </a:xfrm>
          <a:prstGeom prst="rect">
            <a:avLst/>
          </a:prstGeom>
          <a:solidFill>
            <a:srgbClr val="339933"/>
          </a:solidFill>
          <a:ln w="9525">
            <a:solidFill>
              <a:srgbClr val="339933"/>
            </a:solidFill>
            <a:miter lim="800000"/>
            <a:headEnd/>
            <a:tailEnd/>
          </a:ln>
        </xdr:spPr>
      </xdr:sp>
      <xdr:sp macro="" textlink="">
        <xdr:nvSpPr>
          <xdr:cNvPr id="20" name="Rectangle 15"/>
          <xdr:cNvSpPr>
            <a:spLocks noChangeArrowheads="1"/>
          </xdr:cNvSpPr>
        </xdr:nvSpPr>
        <xdr:spPr bwMode="auto">
          <a:xfrm>
            <a:off x="3000375" y="3352800"/>
            <a:ext cx="152400" cy="142875"/>
          </a:xfrm>
          <a:prstGeom prst="rect">
            <a:avLst/>
          </a:prstGeom>
          <a:solidFill>
            <a:srgbClr val="FF0066"/>
          </a:solidFill>
          <a:ln w="9525">
            <a:solidFill>
              <a:srgbClr val="339933"/>
            </a:solidFill>
            <a:miter lim="800000"/>
            <a:headEnd/>
            <a:tailEnd/>
          </a:ln>
        </xdr:spPr>
      </xdr:sp>
      <xdr:sp macro="" textlink="">
        <xdr:nvSpPr>
          <xdr:cNvPr id="21" name="Rectangle 17"/>
          <xdr:cNvSpPr>
            <a:spLocks noChangeArrowheads="1"/>
          </xdr:cNvSpPr>
        </xdr:nvSpPr>
        <xdr:spPr bwMode="auto">
          <a:xfrm>
            <a:off x="3438525" y="3067050"/>
            <a:ext cx="76200" cy="76200"/>
          </a:xfrm>
          <a:prstGeom prst="rect">
            <a:avLst/>
          </a:prstGeom>
          <a:solidFill>
            <a:srgbClr val="339933"/>
          </a:solidFill>
          <a:ln w="9525">
            <a:solidFill>
              <a:srgbClr val="339933"/>
            </a:solidFill>
            <a:miter lim="800000"/>
            <a:headEnd/>
            <a:tailEnd/>
          </a:ln>
        </xdr:spPr>
      </xdr:sp>
      <xdr:sp macro="" textlink="">
        <xdr:nvSpPr>
          <xdr:cNvPr id="22" name="Line 20"/>
          <xdr:cNvSpPr>
            <a:spLocks noChangeShapeType="1"/>
          </xdr:cNvSpPr>
        </xdr:nvSpPr>
        <xdr:spPr bwMode="auto">
          <a:xfrm flipH="1">
            <a:off x="3152775" y="2638425"/>
            <a:ext cx="1581150" cy="866775"/>
          </a:xfrm>
          <a:prstGeom prst="line">
            <a:avLst/>
          </a:prstGeom>
          <a:noFill/>
          <a:ln w="9525">
            <a:solidFill>
              <a:srgbClr val="000000"/>
            </a:solidFill>
            <a:round/>
            <a:headEnd/>
            <a:tailEnd type="triangle" w="med" len="med"/>
          </a:ln>
        </xdr:spPr>
      </xdr:sp>
    </xdr:grpSp>
    <xdr:clientData/>
  </xdr:twoCellAnchor>
  <xdr:twoCellAnchor>
    <xdr:from>
      <xdr:col>1</xdr:col>
      <xdr:colOff>3524250</xdr:colOff>
      <xdr:row>29</xdr:row>
      <xdr:rowOff>123825</xdr:rowOff>
    </xdr:from>
    <xdr:to>
      <xdr:col>3</xdr:col>
      <xdr:colOff>257175</xdr:colOff>
      <xdr:row>34</xdr:row>
      <xdr:rowOff>276225</xdr:rowOff>
    </xdr:to>
    <xdr:grpSp>
      <xdr:nvGrpSpPr>
        <xdr:cNvPr id="23" name="Grupp 22"/>
        <xdr:cNvGrpSpPr/>
      </xdr:nvGrpSpPr>
      <xdr:grpSpPr>
        <a:xfrm>
          <a:off x="3735917" y="11024658"/>
          <a:ext cx="2299758" cy="1634067"/>
          <a:chOff x="5973395" y="10448925"/>
          <a:chExt cx="2103806" cy="1504950"/>
        </a:xfrm>
      </xdr:grpSpPr>
      <xdr:pic>
        <xdr:nvPicPr>
          <xdr:cNvPr id="24" name="Picture 66" descr="j0319452"/>
          <xdr:cNvPicPr>
            <a:picLocks noChangeAspect="1" noChangeArrowheads="1"/>
          </xdr:cNvPicPr>
        </xdr:nvPicPr>
        <xdr:blipFill>
          <a:blip xmlns:r="http://schemas.openxmlformats.org/officeDocument/2006/relationships" r:embed="rId1" cstate="print"/>
          <a:srcRect/>
          <a:stretch>
            <a:fillRect/>
          </a:stretch>
        </xdr:blipFill>
        <xdr:spPr bwMode="auto">
          <a:xfrm>
            <a:off x="5973395" y="10448925"/>
            <a:ext cx="2103806" cy="1504950"/>
          </a:xfrm>
          <a:prstGeom prst="rect">
            <a:avLst/>
          </a:prstGeom>
          <a:noFill/>
          <a:ln w="9525">
            <a:noFill/>
            <a:miter lim="800000"/>
            <a:headEnd/>
            <a:tailEnd/>
          </a:ln>
        </xdr:spPr>
      </xdr:pic>
      <xdr:sp macro="" textlink="">
        <xdr:nvSpPr>
          <xdr:cNvPr id="25" name="Rectangle 79"/>
          <xdr:cNvSpPr>
            <a:spLocks noChangeArrowheads="1"/>
          </xdr:cNvSpPr>
        </xdr:nvSpPr>
        <xdr:spPr bwMode="auto">
          <a:xfrm>
            <a:off x="6896100" y="11382375"/>
            <a:ext cx="76200" cy="66675"/>
          </a:xfrm>
          <a:prstGeom prst="rect">
            <a:avLst/>
          </a:prstGeom>
          <a:solidFill>
            <a:srgbClr val="339933"/>
          </a:solidFill>
          <a:ln w="9525">
            <a:solidFill>
              <a:srgbClr val="339933"/>
            </a:solidFill>
            <a:miter lim="800000"/>
            <a:headEnd/>
            <a:tailEnd/>
          </a:ln>
        </xdr:spPr>
      </xdr:sp>
      <xdr:sp macro="" textlink="">
        <xdr:nvSpPr>
          <xdr:cNvPr id="26" name="Rectangle 81"/>
          <xdr:cNvSpPr>
            <a:spLocks noChangeArrowheads="1"/>
          </xdr:cNvSpPr>
        </xdr:nvSpPr>
        <xdr:spPr bwMode="auto">
          <a:xfrm>
            <a:off x="6961628" y="11430502"/>
            <a:ext cx="76200" cy="66675"/>
          </a:xfrm>
          <a:prstGeom prst="rect">
            <a:avLst/>
          </a:prstGeom>
          <a:solidFill>
            <a:srgbClr val="FF0066"/>
          </a:solidFill>
          <a:ln w="9525">
            <a:solidFill>
              <a:srgbClr val="339933"/>
            </a:solidFill>
            <a:miter lim="800000"/>
            <a:headEnd/>
            <a:tailEnd/>
          </a:ln>
        </xdr:spPr>
      </xdr:sp>
    </xdr:grpSp>
    <xdr:clientData/>
  </xdr:twoCellAnchor>
  <xdr:oneCellAnchor>
    <xdr:from>
      <xdr:col>1</xdr:col>
      <xdr:colOff>2114550</xdr:colOff>
      <xdr:row>28</xdr:row>
      <xdr:rowOff>209550</xdr:rowOff>
    </xdr:from>
    <xdr:ext cx="1605248" cy="446404"/>
    <xdr:sp macro="" textlink="">
      <xdr:nvSpPr>
        <xdr:cNvPr id="27" name="Text Box 82"/>
        <xdr:cNvSpPr txBox="1">
          <a:spLocks noChangeArrowheads="1"/>
        </xdr:cNvSpPr>
      </xdr:nvSpPr>
      <xdr:spPr bwMode="auto">
        <a:xfrm>
          <a:off x="1245870" y="5665470"/>
          <a:ext cx="1605248" cy="446404"/>
        </a:xfrm>
        <a:prstGeom prst="rect">
          <a:avLst/>
        </a:prstGeom>
        <a:noFill/>
        <a:ln w="9525">
          <a:noFill/>
          <a:miter lim="800000"/>
          <a:headEnd/>
          <a:tailEnd/>
        </a:ln>
        <a:effectLst/>
      </xdr:spPr>
      <xdr:txBody>
        <a:bodyPr wrap="none" lIns="91440" tIns="45720" rIns="91440" bIns="45720" anchor="t" upright="1">
          <a:spAutoFit/>
        </a:bodyPr>
        <a:lstStyle/>
        <a:p>
          <a:pPr algn="l" rtl="0">
            <a:defRPr sz="1000"/>
          </a:pPr>
          <a:r>
            <a:rPr lang="sv-SE" sz="1200" b="0" i="0" u="none" strike="noStrike" baseline="0">
              <a:solidFill>
                <a:srgbClr val="339933"/>
              </a:solidFill>
              <a:latin typeface="Arial"/>
              <a:cs typeface="Arial"/>
            </a:rPr>
            <a:t>Lägenhetsanslutning</a:t>
          </a:r>
        </a:p>
        <a:p>
          <a:pPr algn="l" rtl="0">
            <a:defRPr sz="1000"/>
          </a:pPr>
          <a:endParaRPr lang="sv-SE" sz="1200" b="0" i="0" u="none" strike="noStrike" baseline="0">
            <a:solidFill>
              <a:srgbClr val="339933"/>
            </a:solidFill>
            <a:latin typeface="Arial"/>
            <a:cs typeface="Arial"/>
          </a:endParaRPr>
        </a:p>
      </xdr:txBody>
    </xdr:sp>
    <xdr:clientData/>
  </xdr:oneCellAnchor>
  <xdr:twoCellAnchor>
    <xdr:from>
      <xdr:col>1</xdr:col>
      <xdr:colOff>3038475</xdr:colOff>
      <xdr:row>29</xdr:row>
      <xdr:rowOff>238126</xdr:rowOff>
    </xdr:from>
    <xdr:to>
      <xdr:col>2</xdr:col>
      <xdr:colOff>0</xdr:colOff>
      <xdr:row>32</xdr:row>
      <xdr:rowOff>257175</xdr:rowOff>
    </xdr:to>
    <xdr:sp macro="" textlink="">
      <xdr:nvSpPr>
        <xdr:cNvPr id="28" name="Line 83"/>
        <xdr:cNvSpPr>
          <a:spLocks noChangeShapeType="1"/>
        </xdr:cNvSpPr>
      </xdr:nvSpPr>
      <xdr:spPr bwMode="auto">
        <a:xfrm>
          <a:off x="1247775" y="5854066"/>
          <a:ext cx="1905" cy="544829"/>
        </a:xfrm>
        <a:prstGeom prst="line">
          <a:avLst/>
        </a:prstGeom>
        <a:noFill/>
        <a:ln w="9525">
          <a:solidFill>
            <a:srgbClr val="000000"/>
          </a:solidFill>
          <a:round/>
          <a:headEnd/>
          <a:tailEnd type="triangle" w="med" len="med"/>
        </a:ln>
      </xdr:spPr>
    </xdr:sp>
    <xdr:clientData/>
  </xdr:twoCellAnchor>
  <xdr:twoCellAnchor>
    <xdr:from>
      <xdr:col>1</xdr:col>
      <xdr:colOff>104775</xdr:colOff>
      <xdr:row>28</xdr:row>
      <xdr:rowOff>114299</xdr:rowOff>
    </xdr:from>
    <xdr:to>
      <xdr:col>1</xdr:col>
      <xdr:colOff>2828925</xdr:colOff>
      <xdr:row>34</xdr:row>
      <xdr:rowOff>219074</xdr:rowOff>
    </xdr:to>
    <xdr:grpSp>
      <xdr:nvGrpSpPr>
        <xdr:cNvPr id="29" name="Grupp 28"/>
        <xdr:cNvGrpSpPr/>
      </xdr:nvGrpSpPr>
      <xdr:grpSpPr>
        <a:xfrm>
          <a:off x="316442" y="10718799"/>
          <a:ext cx="2724150" cy="1882775"/>
          <a:chOff x="1680291" y="10287000"/>
          <a:chExt cx="3415584" cy="2381250"/>
        </a:xfrm>
      </xdr:grpSpPr>
      <xdr:pic>
        <xdr:nvPicPr>
          <xdr:cNvPr id="30" name="Picture 65" descr="j0319490"/>
          <xdr:cNvPicPr>
            <a:picLocks noChangeAspect="1" noChangeArrowheads="1"/>
          </xdr:cNvPicPr>
        </xdr:nvPicPr>
        <xdr:blipFill>
          <a:blip xmlns:r="http://schemas.openxmlformats.org/officeDocument/2006/relationships" r:embed="rId2" cstate="print"/>
          <a:srcRect/>
          <a:stretch>
            <a:fillRect/>
          </a:stretch>
        </xdr:blipFill>
        <xdr:spPr bwMode="auto">
          <a:xfrm>
            <a:off x="1680291" y="10287000"/>
            <a:ext cx="2276476" cy="2381250"/>
          </a:xfrm>
          <a:prstGeom prst="rect">
            <a:avLst/>
          </a:prstGeom>
          <a:noFill/>
          <a:ln w="9525">
            <a:noFill/>
            <a:miter lim="800000"/>
            <a:headEnd/>
            <a:tailEnd/>
          </a:ln>
        </xdr:spPr>
      </xdr:pic>
      <xdr:sp macro="" textlink="">
        <xdr:nvSpPr>
          <xdr:cNvPr id="31" name="Freeform 67"/>
          <xdr:cNvSpPr>
            <a:spLocks/>
          </xdr:cNvSpPr>
        </xdr:nvSpPr>
        <xdr:spPr bwMode="auto">
          <a:xfrm>
            <a:off x="2581275" y="12096750"/>
            <a:ext cx="638175" cy="361950"/>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32" name="Freeform 68"/>
          <xdr:cNvSpPr>
            <a:spLocks/>
          </xdr:cNvSpPr>
        </xdr:nvSpPr>
        <xdr:spPr bwMode="auto">
          <a:xfrm>
            <a:off x="2581275" y="11668125"/>
            <a:ext cx="647700" cy="790575"/>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33" name="Freeform 69"/>
          <xdr:cNvSpPr>
            <a:spLocks/>
          </xdr:cNvSpPr>
        </xdr:nvSpPr>
        <xdr:spPr bwMode="auto">
          <a:xfrm>
            <a:off x="2647950" y="11306175"/>
            <a:ext cx="647700" cy="1076325"/>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34" name="Freeform 70"/>
          <xdr:cNvSpPr>
            <a:spLocks/>
          </xdr:cNvSpPr>
        </xdr:nvSpPr>
        <xdr:spPr bwMode="auto">
          <a:xfrm flipH="1">
            <a:off x="3438525" y="12096750"/>
            <a:ext cx="295275" cy="361950"/>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35" name="Freeform 71"/>
          <xdr:cNvSpPr>
            <a:spLocks/>
          </xdr:cNvSpPr>
        </xdr:nvSpPr>
        <xdr:spPr bwMode="auto">
          <a:xfrm flipH="1">
            <a:off x="3438525" y="11668125"/>
            <a:ext cx="295275" cy="790575"/>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36" name="Freeform 72"/>
          <xdr:cNvSpPr>
            <a:spLocks/>
          </xdr:cNvSpPr>
        </xdr:nvSpPr>
        <xdr:spPr bwMode="auto">
          <a:xfrm flipH="1">
            <a:off x="3371850" y="11306175"/>
            <a:ext cx="361950" cy="1076325"/>
          </a:xfrm>
          <a:custGeom>
            <a:avLst/>
            <a:gdLst>
              <a:gd name="T0" fmla="*/ 2147483647 w 454"/>
              <a:gd name="T1" fmla="*/ 2147483647 h 363"/>
              <a:gd name="T2" fmla="*/ 2147483647 w 454"/>
              <a:gd name="T3" fmla="*/ 0 h 363"/>
              <a:gd name="T4" fmla="*/ 0 w 454"/>
              <a:gd name="T5" fmla="*/ 0 h 363"/>
              <a:gd name="T6" fmla="*/ 0 60000 65536"/>
              <a:gd name="T7" fmla="*/ 0 60000 65536"/>
              <a:gd name="T8" fmla="*/ 0 60000 65536"/>
              <a:gd name="T9" fmla="*/ 0 w 454"/>
              <a:gd name="T10" fmla="*/ 0 h 363"/>
              <a:gd name="T11" fmla="*/ 454 w 454"/>
              <a:gd name="T12" fmla="*/ 363 h 363"/>
            </a:gdLst>
            <a:ahLst/>
            <a:cxnLst>
              <a:cxn ang="T6">
                <a:pos x="T0" y="T1"/>
              </a:cxn>
              <a:cxn ang="T7">
                <a:pos x="T2" y="T3"/>
              </a:cxn>
              <a:cxn ang="T8">
                <a:pos x="T4" y="T5"/>
              </a:cxn>
            </a:cxnLst>
            <a:rect l="T9" t="T10" r="T11" b="T12"/>
            <a:pathLst>
              <a:path w="454" h="363">
                <a:moveTo>
                  <a:pt x="454" y="363"/>
                </a:moveTo>
                <a:lnTo>
                  <a:pt x="454" y="0"/>
                </a:lnTo>
                <a:lnTo>
                  <a:pt x="0" y="0"/>
                </a:lnTo>
              </a:path>
            </a:pathLst>
          </a:custGeom>
          <a:noFill/>
          <a:ln w="38100">
            <a:solidFill>
              <a:srgbClr val="339933"/>
            </a:solidFill>
            <a:round/>
            <a:headEnd/>
            <a:tailEnd/>
          </a:ln>
        </xdr:spPr>
      </xdr:sp>
      <xdr:sp macro="" textlink="">
        <xdr:nvSpPr>
          <xdr:cNvPr id="37" name="Rectangle 73"/>
          <xdr:cNvSpPr>
            <a:spLocks noChangeArrowheads="1"/>
          </xdr:cNvSpPr>
        </xdr:nvSpPr>
        <xdr:spPr bwMode="auto">
          <a:xfrm>
            <a:off x="2505075" y="12096750"/>
            <a:ext cx="76200" cy="76200"/>
          </a:xfrm>
          <a:prstGeom prst="rect">
            <a:avLst/>
          </a:prstGeom>
          <a:solidFill>
            <a:srgbClr val="339933"/>
          </a:solidFill>
          <a:ln w="9525">
            <a:solidFill>
              <a:srgbClr val="339933"/>
            </a:solidFill>
            <a:miter lim="800000"/>
            <a:headEnd/>
            <a:tailEnd/>
          </a:ln>
        </xdr:spPr>
      </xdr:sp>
      <xdr:sp macro="" textlink="">
        <xdr:nvSpPr>
          <xdr:cNvPr id="38" name="Rectangle 74"/>
          <xdr:cNvSpPr>
            <a:spLocks noChangeArrowheads="1"/>
          </xdr:cNvSpPr>
        </xdr:nvSpPr>
        <xdr:spPr bwMode="auto">
          <a:xfrm>
            <a:off x="2581275" y="11668125"/>
            <a:ext cx="66675" cy="76200"/>
          </a:xfrm>
          <a:prstGeom prst="rect">
            <a:avLst/>
          </a:prstGeom>
          <a:solidFill>
            <a:srgbClr val="339933"/>
          </a:solidFill>
          <a:ln w="9525">
            <a:solidFill>
              <a:srgbClr val="339933"/>
            </a:solidFill>
            <a:miter lim="800000"/>
            <a:headEnd/>
            <a:tailEnd/>
          </a:ln>
        </xdr:spPr>
      </xdr:sp>
      <xdr:sp macro="" textlink="">
        <xdr:nvSpPr>
          <xdr:cNvPr id="39" name="Rectangle 75"/>
          <xdr:cNvSpPr>
            <a:spLocks noChangeArrowheads="1"/>
          </xdr:cNvSpPr>
        </xdr:nvSpPr>
        <xdr:spPr bwMode="auto">
          <a:xfrm>
            <a:off x="2647950" y="11239500"/>
            <a:ext cx="76200" cy="66675"/>
          </a:xfrm>
          <a:prstGeom prst="rect">
            <a:avLst/>
          </a:prstGeom>
          <a:solidFill>
            <a:srgbClr val="339933"/>
          </a:solidFill>
          <a:ln w="9525">
            <a:solidFill>
              <a:srgbClr val="339933"/>
            </a:solidFill>
            <a:miter lim="800000"/>
            <a:headEnd/>
            <a:tailEnd/>
          </a:ln>
        </xdr:spPr>
      </xdr:sp>
      <xdr:sp macro="" textlink="">
        <xdr:nvSpPr>
          <xdr:cNvPr id="40" name="Rectangle 76"/>
          <xdr:cNvSpPr>
            <a:spLocks noChangeArrowheads="1"/>
          </xdr:cNvSpPr>
        </xdr:nvSpPr>
        <xdr:spPr bwMode="auto">
          <a:xfrm>
            <a:off x="3657600" y="11306175"/>
            <a:ext cx="76200" cy="76200"/>
          </a:xfrm>
          <a:prstGeom prst="rect">
            <a:avLst/>
          </a:prstGeom>
          <a:solidFill>
            <a:srgbClr val="339933"/>
          </a:solidFill>
          <a:ln w="9525">
            <a:solidFill>
              <a:srgbClr val="339933"/>
            </a:solidFill>
            <a:miter lim="800000"/>
            <a:headEnd/>
            <a:tailEnd/>
          </a:ln>
        </xdr:spPr>
      </xdr:sp>
      <xdr:sp macro="" textlink="">
        <xdr:nvSpPr>
          <xdr:cNvPr id="41" name="Rectangle 78"/>
          <xdr:cNvSpPr>
            <a:spLocks noChangeArrowheads="1"/>
          </xdr:cNvSpPr>
        </xdr:nvSpPr>
        <xdr:spPr bwMode="auto">
          <a:xfrm>
            <a:off x="3219450" y="12382500"/>
            <a:ext cx="152400" cy="142875"/>
          </a:xfrm>
          <a:prstGeom prst="rect">
            <a:avLst/>
          </a:prstGeom>
          <a:solidFill>
            <a:srgbClr val="FF0066"/>
          </a:solidFill>
          <a:ln w="9525">
            <a:solidFill>
              <a:srgbClr val="339933"/>
            </a:solidFill>
            <a:miter lim="800000"/>
            <a:headEnd/>
            <a:tailEnd/>
          </a:ln>
        </xdr:spPr>
      </xdr:sp>
      <xdr:sp macro="" textlink="">
        <xdr:nvSpPr>
          <xdr:cNvPr id="42" name="Rectangle 80"/>
          <xdr:cNvSpPr>
            <a:spLocks noChangeArrowheads="1"/>
          </xdr:cNvSpPr>
        </xdr:nvSpPr>
        <xdr:spPr bwMode="auto">
          <a:xfrm>
            <a:off x="3657600" y="12096750"/>
            <a:ext cx="76200" cy="76200"/>
          </a:xfrm>
          <a:prstGeom prst="rect">
            <a:avLst/>
          </a:prstGeom>
          <a:solidFill>
            <a:srgbClr val="339933"/>
          </a:solidFill>
          <a:ln w="9525">
            <a:solidFill>
              <a:srgbClr val="339933"/>
            </a:solidFill>
            <a:miter lim="800000"/>
            <a:headEnd/>
            <a:tailEnd/>
          </a:ln>
        </xdr:spPr>
      </xdr:sp>
      <xdr:sp macro="" textlink="">
        <xdr:nvSpPr>
          <xdr:cNvPr id="43" name="Line 84"/>
          <xdr:cNvSpPr>
            <a:spLocks noChangeShapeType="1"/>
          </xdr:cNvSpPr>
        </xdr:nvSpPr>
        <xdr:spPr bwMode="auto">
          <a:xfrm flipH="1">
            <a:off x="3733800" y="10944225"/>
            <a:ext cx="1076325" cy="361950"/>
          </a:xfrm>
          <a:prstGeom prst="line">
            <a:avLst/>
          </a:prstGeom>
          <a:noFill/>
          <a:ln w="9525">
            <a:solidFill>
              <a:srgbClr val="000000"/>
            </a:solidFill>
            <a:round/>
            <a:headEnd/>
            <a:tailEnd type="triangle" w="med" len="med"/>
          </a:ln>
        </xdr:spPr>
      </xdr:sp>
      <xdr:sp macro="" textlink="">
        <xdr:nvSpPr>
          <xdr:cNvPr id="44" name="Line 85"/>
          <xdr:cNvSpPr>
            <a:spLocks noChangeShapeType="1"/>
          </xdr:cNvSpPr>
        </xdr:nvSpPr>
        <xdr:spPr bwMode="auto">
          <a:xfrm flipH="1">
            <a:off x="3657600" y="10944225"/>
            <a:ext cx="1295400" cy="723900"/>
          </a:xfrm>
          <a:prstGeom prst="line">
            <a:avLst/>
          </a:prstGeom>
          <a:noFill/>
          <a:ln w="9525">
            <a:solidFill>
              <a:srgbClr val="000000"/>
            </a:solidFill>
            <a:round/>
            <a:headEnd/>
            <a:tailEnd type="triangle" w="med" len="med"/>
          </a:ln>
        </xdr:spPr>
      </xdr:sp>
      <xdr:sp macro="" textlink="">
        <xdr:nvSpPr>
          <xdr:cNvPr id="45" name="Line 86"/>
          <xdr:cNvSpPr>
            <a:spLocks noChangeShapeType="1"/>
          </xdr:cNvSpPr>
        </xdr:nvSpPr>
        <xdr:spPr bwMode="auto">
          <a:xfrm flipH="1">
            <a:off x="3733800" y="10944225"/>
            <a:ext cx="1362075" cy="1152525"/>
          </a:xfrm>
          <a:prstGeom prst="line">
            <a:avLst/>
          </a:prstGeom>
          <a:noFill/>
          <a:ln w="9525">
            <a:solidFill>
              <a:srgbClr val="000000"/>
            </a:solidFill>
            <a:round/>
            <a:headEnd/>
            <a:tailEnd type="triangle" w="med" len="med"/>
          </a:ln>
        </xdr:spPr>
      </xdr:sp>
    </xdr:grpSp>
    <xdr:clientData/>
  </xdr:twoCellAnchor>
  <xdr:oneCellAnchor>
    <xdr:from>
      <xdr:col>1</xdr:col>
      <xdr:colOff>28576</xdr:colOff>
      <xdr:row>60</xdr:row>
      <xdr:rowOff>104775</xdr:rowOff>
    </xdr:from>
    <xdr:ext cx="5878830" cy="3314700"/>
    <xdr:pic>
      <xdr:nvPicPr>
        <xdr:cNvPr id="46" name="Bildobjekt 45" descr="C:\Users\mich\AppData\Local\Microsoft\Windows\Temporary Internet Files\Content.Word\Digital Access STM 55.png"/>
        <xdr:cNvPicPr/>
      </xdr:nvPicPr>
      <xdr:blipFill>
        <a:blip xmlns:r="http://schemas.openxmlformats.org/officeDocument/2006/relationships" r:embed="rId3" cstate="print"/>
        <a:stretch>
          <a:fillRect/>
        </a:stretch>
      </xdr:blipFill>
      <xdr:spPr bwMode="auto">
        <a:xfrm>
          <a:off x="653416" y="12174855"/>
          <a:ext cx="5878830" cy="3314700"/>
        </a:xfrm>
        <a:prstGeom prst="rect">
          <a:avLst/>
        </a:prstGeom>
        <a:noFill/>
        <a:ln w="9525">
          <a:solidFill>
            <a:schemeClr val="tx1"/>
          </a:solidFill>
          <a:miter lim="800000"/>
          <a:headEnd/>
          <a:tailEnd/>
        </a:ln>
      </xdr:spPr>
    </xdr:pic>
    <xdr:clientData/>
  </xdr:oneCellAnchor>
  <xdr:twoCellAnchor>
    <xdr:from>
      <xdr:col>1</xdr:col>
      <xdr:colOff>3486150</xdr:colOff>
      <xdr:row>4</xdr:row>
      <xdr:rowOff>1181100</xdr:rowOff>
    </xdr:from>
    <xdr:to>
      <xdr:col>2</xdr:col>
      <xdr:colOff>381000</xdr:colOff>
      <xdr:row>4</xdr:row>
      <xdr:rowOff>1485900</xdr:rowOff>
    </xdr:to>
    <xdr:sp macro="" textlink="">
      <xdr:nvSpPr>
        <xdr:cNvPr id="47" name="Line 83"/>
        <xdr:cNvSpPr>
          <a:spLocks noChangeShapeType="1"/>
        </xdr:cNvSpPr>
      </xdr:nvSpPr>
      <xdr:spPr bwMode="auto">
        <a:xfrm flipV="1">
          <a:off x="3695700" y="2514600"/>
          <a:ext cx="1295400" cy="304800"/>
        </a:xfrm>
        <a:prstGeom prst="line">
          <a:avLst/>
        </a:prstGeom>
        <a:noFill/>
        <a:ln w="9525">
          <a:solidFill>
            <a:srgbClr val="000000"/>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114300</xdr:colOff>
          <xdr:row>8</xdr:row>
          <xdr:rowOff>38100</xdr:rowOff>
        </xdr:from>
        <xdr:to>
          <xdr:col>16</xdr:col>
          <xdr:colOff>485775</xdr:colOff>
          <xdr:row>11</xdr:row>
          <xdr:rowOff>28575</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v-SE" sz="1000" b="0" i="0" u="none" strike="noStrike" baseline="0">
                  <a:solidFill>
                    <a:srgbClr val="000000"/>
                  </a:solidFill>
                  <a:latin typeface="Arial"/>
                  <a:cs typeface="Arial"/>
                </a:rPr>
                <a:t>Dölj alla cellrubriker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xdr:row>
          <xdr:rowOff>85725</xdr:rowOff>
        </xdr:from>
        <xdr:to>
          <xdr:col>16</xdr:col>
          <xdr:colOff>485775</xdr:colOff>
          <xdr:row>14</xdr:row>
          <xdr:rowOff>66675</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v-SE" sz="1000" b="0" i="0" u="none" strike="noStrike" baseline="0">
                  <a:solidFill>
                    <a:srgbClr val="000000"/>
                  </a:solidFill>
                  <a:latin typeface="Arial"/>
                  <a:cs typeface="Arial"/>
                </a:rPr>
                <a:t>Visa alla cellrubriker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15</xdr:row>
          <xdr:rowOff>28575</xdr:rowOff>
        </xdr:from>
        <xdr:to>
          <xdr:col>16</xdr:col>
          <xdr:colOff>485775</xdr:colOff>
          <xdr:row>18</xdr:row>
          <xdr:rowOff>9525</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sv-SE" sz="1000" b="0" i="0" u="none" strike="noStrike" baseline="0">
                  <a:solidFill>
                    <a:srgbClr val="000000"/>
                  </a:solidFill>
                  <a:latin typeface="Arial"/>
                  <a:cs typeface="Arial"/>
                </a:rPr>
                <a:t>Ta bort alla kommentarer (kolumn G)</a:t>
              </a:r>
            </a:p>
          </xdr:txBody>
        </xdr:sp>
        <xdr:clientData fPrintsWithSheet="0"/>
      </xdr:twoCellAnchor>
    </mc:Choice>
    <mc:Fallback/>
  </mc:AlternateContent>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25.bin"/><Relationship Id="rId7" Type="http://schemas.openxmlformats.org/officeDocument/2006/relationships/ctrlProp" Target="../ctrlProps/ctrlProp2.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xml"/><Relationship Id="rId5" Type="http://schemas.openxmlformats.org/officeDocument/2006/relationships/vmlDrawing" Target="../drawings/vmlDrawing3.vml"/><Relationship Id="rId4"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pageSetUpPr fitToPage="1"/>
  </sheetPr>
  <dimension ref="B1:G24"/>
  <sheetViews>
    <sheetView showGridLines="0" view="pageBreakPreview" topLeftCell="A7" zoomScale="86" zoomScaleNormal="100" zoomScaleSheetLayoutView="86" workbookViewId="0">
      <selection activeCell="B20" sqref="B20:D20"/>
    </sheetView>
  </sheetViews>
  <sheetFormatPr defaultColWidth="9.140625" defaultRowHeight="12.75"/>
  <cols>
    <col min="1" max="1" width="21.42578125" style="2" customWidth="1"/>
    <col min="2" max="2" width="47.140625" style="2" customWidth="1"/>
    <col min="3" max="3" width="10.5703125" style="5" customWidth="1"/>
    <col min="4" max="4" width="20.42578125" style="5" customWidth="1"/>
    <col min="5" max="5" width="8.5703125" style="5" customWidth="1"/>
    <col min="6" max="6" width="1.85546875" style="2" customWidth="1"/>
    <col min="7" max="8" width="9.140625" style="2"/>
    <col min="9" max="9" width="8.5703125" style="2" customWidth="1"/>
    <col min="10" max="16384" width="9.140625" style="2"/>
  </cols>
  <sheetData>
    <row r="1" spans="2:7" ht="22.5" customHeight="1">
      <c r="B1" s="16"/>
      <c r="C1" s="8"/>
      <c r="D1" s="953"/>
      <c r="E1" s="953"/>
    </row>
    <row r="2" spans="2:7" ht="15.75">
      <c r="B2" s="15"/>
      <c r="C2" s="10"/>
      <c r="D2" s="18"/>
      <c r="E2" s="8"/>
    </row>
    <row r="3" spans="2:7" ht="13.5" customHeight="1">
      <c r="B3" s="15"/>
      <c r="C3" s="8"/>
      <c r="D3" s="10"/>
      <c r="E3" s="10"/>
    </row>
    <row r="4" spans="2:7" ht="15">
      <c r="B4" s="16"/>
      <c r="C4" s="8"/>
      <c r="D4" s="10"/>
      <c r="E4" s="10"/>
    </row>
    <row r="5" spans="2:7" ht="12.75" customHeight="1">
      <c r="B5" s="22"/>
      <c r="C5" s="8"/>
      <c r="D5" s="10"/>
      <c r="E5" s="10"/>
    </row>
    <row r="6" spans="2:7" ht="12.75" customHeight="1">
      <c r="B6" s="22"/>
      <c r="C6" s="8"/>
      <c r="D6" s="953"/>
      <c r="E6" s="953"/>
      <c r="G6" s="584"/>
    </row>
    <row r="7" spans="2:7" ht="12.75" customHeight="1">
      <c r="B7" s="45"/>
      <c r="C7" s="24"/>
      <c r="D7" s="359" t="s">
        <v>413</v>
      </c>
      <c r="E7" s="59"/>
      <c r="G7" s="584"/>
    </row>
    <row r="8" spans="2:7" ht="12.75" customHeight="1">
      <c r="B8" s="45"/>
      <c r="C8" s="24"/>
      <c r="D8" s="60"/>
      <c r="E8" s="61"/>
      <c r="G8" s="584"/>
    </row>
    <row r="9" spans="2:7" ht="12.75" customHeight="1">
      <c r="B9" s="46"/>
      <c r="C9" s="24"/>
      <c r="D9" s="956" t="s">
        <v>132</v>
      </c>
      <c r="E9" s="956"/>
      <c r="G9" s="584"/>
    </row>
    <row r="10" spans="2:7" ht="12.75" customHeight="1">
      <c r="B10" s="44"/>
      <c r="C10" s="24"/>
      <c r="D10" s="956"/>
      <c r="E10" s="956"/>
    </row>
    <row r="11" spans="2:7" ht="12.75" customHeight="1">
      <c r="B11" s="44"/>
      <c r="C11" s="24"/>
      <c r="D11" s="957"/>
      <c r="E11" s="957"/>
    </row>
    <row r="12" spans="2:7" ht="12.75" customHeight="1">
      <c r="B12" s="44"/>
      <c r="C12" s="24"/>
      <c r="D12" s="47"/>
      <c r="E12" s="47"/>
    </row>
    <row r="13" spans="2:7" ht="12.75" customHeight="1">
      <c r="B13" s="44"/>
      <c r="C13" s="24"/>
      <c r="D13" s="24"/>
      <c r="E13" s="24"/>
    </row>
    <row r="14" spans="2:7" ht="27.75" customHeight="1">
      <c r="B14" s="954" t="s">
        <v>9</v>
      </c>
      <c r="C14" s="954"/>
      <c r="D14" s="954"/>
      <c r="E14" s="954"/>
    </row>
    <row r="15" spans="2:7" s="3" customFormat="1" ht="27.75">
      <c r="B15" s="958" t="s">
        <v>384</v>
      </c>
      <c r="C15" s="959"/>
      <c r="D15" s="959"/>
      <c r="E15" s="959"/>
      <c r="G15" s="314"/>
    </row>
    <row r="16" spans="2:7" ht="22.35" customHeight="1">
      <c r="B16" s="950" t="s">
        <v>41</v>
      </c>
      <c r="C16" s="950"/>
      <c r="D16" s="950"/>
      <c r="E16" s="58"/>
    </row>
    <row r="17" spans="2:7" ht="51.6" customHeight="1">
      <c r="B17" s="951" t="s">
        <v>318</v>
      </c>
      <c r="C17" s="951"/>
      <c r="D17" s="951"/>
      <c r="E17" s="62"/>
      <c r="G17" s="6"/>
    </row>
    <row r="18" spans="2:7" ht="48.75" customHeight="1">
      <c r="B18" s="951" t="s">
        <v>302</v>
      </c>
      <c r="C18" s="951"/>
      <c r="D18" s="951"/>
      <c r="E18" s="58"/>
    </row>
    <row r="19" spans="2:7" ht="63" customHeight="1">
      <c r="B19" s="952" t="s">
        <v>423</v>
      </c>
      <c r="C19" s="952"/>
      <c r="D19" s="952"/>
      <c r="E19" s="63"/>
      <c r="G19" s="313"/>
    </row>
    <row r="20" spans="2:7" ht="95.25" customHeight="1">
      <c r="B20" s="951"/>
      <c r="C20" s="951"/>
      <c r="D20" s="951"/>
      <c r="E20" s="64"/>
    </row>
    <row r="21" spans="2:7" ht="46.5" customHeight="1">
      <c r="B21" s="955"/>
      <c r="C21" s="955"/>
      <c r="D21" s="955"/>
      <c r="E21" s="62"/>
    </row>
    <row r="22" spans="2:7" ht="15.75">
      <c r="B22" s="19"/>
      <c r="C22" s="10"/>
      <c r="D22" s="10"/>
      <c r="E22" s="10"/>
    </row>
    <row r="23" spans="2:7" ht="14.25" customHeight="1">
      <c r="B23" s="950"/>
      <c r="C23" s="950"/>
      <c r="D23" s="950"/>
      <c r="E23" s="17"/>
    </row>
    <row r="24" spans="2:7">
      <c r="B24" s="16"/>
      <c r="C24" s="10"/>
      <c r="D24" s="10"/>
      <c r="E24" s="10"/>
    </row>
  </sheetData>
  <customSheetViews>
    <customSheetView guid="{57543244-C279-4784-9046-AADA166AE6D2}" showPageBreaks="1" showGridLines="0" fitToPage="1" printArea="1">
      <selection activeCell="B14" sqref="B14:E14"/>
      <pageMargins left="0.75" right="0.75" top="1" bottom="1" header="0.5" footer="0.5"/>
      <pageSetup paperSize="9" fitToHeight="0" orientation="portrait" r:id="rId1"/>
      <headerFooter alignWithMargins="0"/>
    </customSheetView>
    <customSheetView guid="{AFB80F5F-D59D-4563-906B-EFB87107A041}" showGridLines="0" fitToPage="1">
      <selection activeCell="J26" sqref="J26"/>
      <pageMargins left="0.75" right="0.75" top="1" bottom="1" header="0.5" footer="0.5"/>
      <pageSetup paperSize="9" fitToHeight="0" orientation="portrait" r:id="rId2"/>
      <headerFooter alignWithMargins="0"/>
    </customSheetView>
  </customSheetViews>
  <mergeCells count="12">
    <mergeCell ref="D1:E1"/>
    <mergeCell ref="D6:E6"/>
    <mergeCell ref="B14:E14"/>
    <mergeCell ref="B21:D21"/>
    <mergeCell ref="D9:E11"/>
    <mergeCell ref="B15:E15"/>
    <mergeCell ref="B20:D20"/>
    <mergeCell ref="B23:D23"/>
    <mergeCell ref="B16:D16"/>
    <mergeCell ref="B17:D17"/>
    <mergeCell ref="B18:D18"/>
    <mergeCell ref="B19:D19"/>
  </mergeCells>
  <phoneticPr fontId="47" type="noConversion"/>
  <pageMargins left="0.75" right="0.75" top="1" bottom="1" header="0.5" footer="0.5"/>
  <pageSetup paperSize="9" fitToHeight="0"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DI63"/>
  <sheetViews>
    <sheetView showGridLines="0" view="pageBreakPreview" zoomScaleNormal="100" zoomScaleSheetLayoutView="100" workbookViewId="0">
      <pane ySplit="2" topLeftCell="A3" activePane="bottomLeft" state="frozen"/>
      <selection activeCell="B24" sqref="B24"/>
      <selection pane="bottomLeft" activeCell="F5" sqref="F5"/>
    </sheetView>
  </sheetViews>
  <sheetFormatPr defaultColWidth="9.140625" defaultRowHeight="12.75"/>
  <cols>
    <col min="1" max="1" width="3.42578125" style="50" customWidth="1"/>
    <col min="2" max="2" width="53.42578125" style="50" customWidth="1"/>
    <col min="3" max="3" width="15" style="50" customWidth="1"/>
    <col min="4" max="4" width="15.5703125" style="50" customWidth="1"/>
    <col min="5" max="5" width="6.85546875" style="482" customWidth="1"/>
    <col min="6" max="6" width="15.42578125" style="482" customWidth="1"/>
    <col min="7" max="7" width="3.5703125" style="50" customWidth="1"/>
    <col min="8" max="8" width="9.140625" style="50"/>
    <col min="9" max="9" width="10.42578125" style="50" customWidth="1"/>
    <col min="10" max="16384" width="9.140625" style="50"/>
  </cols>
  <sheetData>
    <row r="1" spans="1:113" s="51" customFormat="1" ht="12" customHeight="1" thickBot="1">
      <c r="A1" s="142"/>
      <c r="B1" s="194"/>
      <c r="C1" s="195"/>
      <c r="D1" s="195"/>
      <c r="E1" s="478"/>
      <c r="F1" s="478"/>
    </row>
    <row r="2" spans="1:113" s="115" customFormat="1" ht="18" customHeight="1" thickBot="1">
      <c r="A2" s="142"/>
      <c r="B2" s="1227" t="s">
        <v>44</v>
      </c>
      <c r="C2" s="1228"/>
      <c r="D2" s="1229"/>
      <c r="E2" s="877" t="s">
        <v>550</v>
      </c>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row>
    <row r="3" spans="1:113" ht="59.25" customHeight="1">
      <c r="A3" s="142"/>
      <c r="B3" s="1230" t="s">
        <v>509</v>
      </c>
      <c r="C3" s="1231"/>
      <c r="D3" s="1232"/>
      <c r="E3" s="50"/>
      <c r="F3" s="540"/>
      <c r="G3" s="541"/>
    </row>
    <row r="4" spans="1:113">
      <c r="A4" s="142"/>
      <c r="B4" s="185"/>
      <c r="C4" s="185"/>
      <c r="D4" s="185"/>
      <c r="E4" s="196"/>
      <c r="F4" s="196"/>
    </row>
    <row r="5" spans="1:113" ht="37.5" customHeight="1">
      <c r="A5" s="142"/>
      <c r="B5" s="1195" t="str">
        <f>CONCATENATE("Fråga 39: Antal aktiva [",'TV-tjänster'!A54,"] abonnemang på grundpaket [",'TV-tjänster'!A55,"] som tecknats med hushåll/slutkund ",'Om detta formulär'!C10,":")</f>
        <v>Fråga 39: Antal aktiva [1] abonnemang på grundpaket [2] som tecknats med hushåll/slutkund 31 dec 2019:</v>
      </c>
      <c r="C5" s="1219"/>
      <c r="D5" s="1220"/>
      <c r="E5" s="923" t="s">
        <v>506</v>
      </c>
      <c r="F5" s="503"/>
      <c r="J5" s="317"/>
    </row>
    <row r="6" spans="1:113" ht="13.5" customHeight="1">
      <c r="A6" s="142"/>
      <c r="B6" s="197"/>
      <c r="C6" s="198"/>
      <c r="D6" s="199" t="s">
        <v>20</v>
      </c>
    </row>
    <row r="7" spans="1:113" ht="16.5" customHeight="1">
      <c r="A7" s="142"/>
      <c r="B7" s="745" t="str">
        <f>CONCATENATE("Analog tv i kabelnät [",'TV-tjänster'!A55,"][",'TV-tjänster'!A56,"]:")</f>
        <v>Analog tv i kabelnät [2][3]:</v>
      </c>
      <c r="C7" s="201"/>
      <c r="D7" s="250" t="str">
        <f>IF(SUM(D8:D9)=0," ",SUM(D8:D9))</f>
        <v xml:space="preserve"> </v>
      </c>
      <c r="E7" s="718"/>
      <c r="F7" s="503"/>
      <c r="G7" s="256"/>
    </row>
    <row r="8" spans="1:113">
      <c r="A8" s="142"/>
      <c r="B8" s="1233" t="str">
        <f>CONCATENATE("varav via avtal med fastighetsägare [",'TV-tjänster'!A55,"] [",'TV-tjänster'!A58,"]:")</f>
        <v>varav via avtal med fastighetsägare [2] [5]:</v>
      </c>
      <c r="C8" s="1234"/>
      <c r="D8" s="203"/>
    </row>
    <row r="9" spans="1:113" ht="27.75" customHeight="1">
      <c r="A9" s="142"/>
      <c r="B9" s="1233" t="str">
        <f>CONCATENATE("varav via avtal direkt med hushåll utan avtal om abonnemang med fastighetsägare [",'TV-tjänster'!A55,"]:")</f>
        <v>varav via avtal direkt med hushåll utan avtal om abonnemang med fastighetsägare [2]:</v>
      </c>
      <c r="C9" s="1234"/>
      <c r="D9" s="204"/>
    </row>
    <row r="10" spans="1:113" ht="16.5" customHeight="1">
      <c r="A10" s="142"/>
      <c r="B10" s="347" t="str">
        <f>CONCATENATE("Digitala grundabonnemang i kabel-tv-nät [",'TV-tjänster'!A55,"][",'TV-tjänster'!A57,"]:")</f>
        <v>Digitala grundabonnemang i kabel-tv-nät [2][4]:</v>
      </c>
      <c r="C10" s="206"/>
      <c r="D10" s="270" t="str">
        <f>IF(SUM(D11:D12)=0," ",SUM(D11:D12))</f>
        <v xml:space="preserve"> </v>
      </c>
      <c r="G10" s="256"/>
    </row>
    <row r="11" spans="1:113" ht="14.25" customHeight="1">
      <c r="A11" s="142"/>
      <c r="B11" s="1233" t="str">
        <f>CONCATENATE("varav via avtal med fastighetsägare  [",'TV-tjänster'!A55,"] [",'TV-tjänster'!A58,"]:")</f>
        <v>varav via avtal med fastighetsägare  [2] [5]:</v>
      </c>
      <c r="C11" s="1234"/>
      <c r="D11" s="204"/>
      <c r="E11" s="503"/>
    </row>
    <row r="12" spans="1:113" ht="29.25" customHeight="1">
      <c r="A12" s="142"/>
      <c r="B12" s="1233" t="str">
        <f>CONCATENATE("varav via avtal direkt med hushåll utan avtal om abonnemang med fastighetsägare [",'TV-tjänster'!A55,"]:")</f>
        <v>varav via avtal direkt med hushåll utan avtal om abonnemang med fastighetsägare [2]:</v>
      </c>
      <c r="C12" s="1234"/>
      <c r="D12" s="204"/>
    </row>
    <row r="13" spans="1:113" ht="44.25" customHeight="1">
      <c r="A13" s="142"/>
      <c r="B13" s="1212" t="s">
        <v>194</v>
      </c>
      <c r="C13" s="1213"/>
      <c r="D13" s="204"/>
      <c r="E13" s="503"/>
      <c r="F13" s="503"/>
    </row>
    <row r="14" spans="1:113" ht="44.25" customHeight="1">
      <c r="A14" s="142"/>
      <c r="B14" s="1212" t="s">
        <v>215</v>
      </c>
      <c r="C14" s="1213"/>
      <c r="D14" s="203"/>
      <c r="E14" s="503"/>
      <c r="J14" s="317"/>
    </row>
    <row r="15" spans="1:113" ht="16.5" customHeight="1">
      <c r="A15" s="142"/>
      <c r="B15" s="348" t="str">
        <f>CONCATENATE("Iptv via fiber eller fiber-LAN [",'TV-tjänster'!A59,"]:")</f>
        <v>Iptv via fiber eller fiber-LAN [6]:</v>
      </c>
      <c r="C15" s="206"/>
      <c r="D15" s="270" t="str">
        <f>IF(SUM(D16:D17)=0," ",SUM(D16:D17))</f>
        <v xml:space="preserve"> </v>
      </c>
      <c r="E15" s="503"/>
      <c r="G15" s="256"/>
    </row>
    <row r="16" spans="1:113" ht="27.75" customHeight="1">
      <c r="A16" s="142"/>
      <c r="B16" s="1233" t="str">
        <f>CONCATENATE("varav via avtal med fastighetsägare[",'TV-tjänster'!A58,"]:")</f>
        <v>varav via avtal med fastighetsägare[5]:</v>
      </c>
      <c r="C16" s="1234"/>
      <c r="D16" s="203"/>
    </row>
    <row r="17" spans="1:13" ht="27.75" customHeight="1">
      <c r="A17" s="142"/>
      <c r="B17" s="1233" t="s">
        <v>96</v>
      </c>
      <c r="C17" s="1234"/>
      <c r="D17" s="204"/>
    </row>
    <row r="18" spans="1:13" ht="40.5" customHeight="1">
      <c r="A18" s="142"/>
      <c r="B18" s="1212" t="s">
        <v>323</v>
      </c>
      <c r="C18" s="1213"/>
      <c r="D18" s="204"/>
    </row>
    <row r="19" spans="1:13" ht="16.5" customHeight="1">
      <c r="A19" s="142"/>
      <c r="B19" s="348" t="s">
        <v>133</v>
      </c>
      <c r="C19" s="206"/>
      <c r="D19" s="204"/>
      <c r="E19" s="503"/>
    </row>
    <row r="20" spans="1:13" ht="16.5" customHeight="1">
      <c r="A20" s="142"/>
      <c r="B20" s="1214" t="s">
        <v>324</v>
      </c>
      <c r="C20" s="1215"/>
      <c r="D20" s="120"/>
      <c r="E20" s="718"/>
    </row>
    <row r="21" spans="1:13" ht="16.5" customHeight="1">
      <c r="A21" s="142"/>
      <c r="B21" s="670" t="s">
        <v>81</v>
      </c>
      <c r="C21" s="238"/>
      <c r="D21" s="120"/>
    </row>
    <row r="22" spans="1:13" ht="16.5" customHeight="1" thickBot="1">
      <c r="A22" s="142"/>
      <c r="B22" s="674" t="s">
        <v>82</v>
      </c>
      <c r="C22" s="671"/>
      <c r="D22" s="375"/>
    </row>
    <row r="23" spans="1:13" ht="16.5" customHeight="1" thickTop="1">
      <c r="A23" s="142"/>
      <c r="B23" s="672" t="s">
        <v>208</v>
      </c>
      <c r="C23" s="673"/>
      <c r="D23" s="270" t="str">
        <f>IF(SUM(D22+D21+D20+D19+D17+D16+D12+D11+D9+D8+D13+D14+D18)=0," ",SUM(D22+D21+D20+D19+D17+D16+D12+D11+D9+D8+D13+D14+D18))</f>
        <v xml:space="preserve"> </v>
      </c>
      <c r="E23" s="483"/>
      <c r="F23" s="483"/>
      <c r="G23" s="256"/>
    </row>
    <row r="24" spans="1:13" ht="25.5" customHeight="1">
      <c r="A24" s="142"/>
      <c r="B24" s="357" t="str">
        <f>CONCATENATE("Totalt antal abonnemang exklusive de kabel-tv-abonnemang som även har avtal via fastighetsägare [",'TV-tjänster'!A60,"]:")</f>
        <v>Totalt antal abonnemang exklusive de kabel-tv-abonnemang som även har avtal via fastighetsägare [7]:</v>
      </c>
      <c r="C24" s="349"/>
      <c r="D24" s="354" t="str">
        <f>IF(SUM(D8+D9+D11+D12+D16+D17+D19+D20+D21+D22)=0," ",SUM(D8+D9+D11+D12+D16+D17+D19+D20+D21+D22))</f>
        <v xml:space="preserve"> </v>
      </c>
      <c r="E24" s="50"/>
      <c r="F24" s="50"/>
      <c r="G24" s="256"/>
    </row>
    <row r="25" spans="1:13" ht="35.1" customHeight="1">
      <c r="A25" s="142"/>
      <c r="B25" s="1168" t="s">
        <v>50</v>
      </c>
      <c r="C25" s="1216"/>
      <c r="D25" s="1217"/>
    </row>
    <row r="26" spans="1:13">
      <c r="A26" s="142"/>
      <c r="B26" s="185"/>
      <c r="C26" s="185"/>
      <c r="D26" s="185"/>
      <c r="E26" s="196"/>
      <c r="F26" s="196"/>
    </row>
    <row r="27" spans="1:13" ht="54" customHeight="1">
      <c r="A27" s="142"/>
      <c r="B27" s="1195" t="str">
        <f>CONCATENATE("Fråga 40: Intäkter (tusentals kronor) för tillhandahållande av tv-tjänster till hushåll [",'TV-tjänster'!A61,"] i form av abonnemang på grundpaket [",'TV-tjänster'!A62,"], tillvalspaket och tillvalskanaler [",'TV-tjänster'!A63,"] och övriga intäkter från tv-tjänster under ",'Om detta formulär'!C6,":")</f>
        <v>Fråga 40: Intäkter (tusentals kronor) för tillhandahållande av tv-tjänster till hushåll [8] i form av abonnemang på grundpaket [9], tillvalspaket och tillvalskanaler [10] och övriga intäkter från tv-tjänster under 2019:</v>
      </c>
      <c r="C27" s="1219"/>
      <c r="D27" s="1220"/>
      <c r="E27" s="923" t="s">
        <v>510</v>
      </c>
      <c r="J27" s="317"/>
    </row>
    <row r="28" spans="1:13" ht="41.25" customHeight="1">
      <c r="A28" s="142"/>
      <c r="B28" s="197"/>
      <c r="C28" s="207" t="str">
        <f>CONCATENATE("Grund-abonnemang [",'TV-tjänster'!A62,"]")</f>
        <v>Grund-abonnemang [9]</v>
      </c>
      <c r="D28" s="199" t="str">
        <f>CONCATENATE("Tilläggs-abonnemang [",'TV-tjänster'!A63,"]")</f>
        <v>Tilläggs-abonnemang [10]</v>
      </c>
      <c r="E28" s="503"/>
      <c r="F28" s="503"/>
      <c r="G28" s="51"/>
      <c r="H28" s="51"/>
      <c r="I28" s="51"/>
      <c r="J28" s="51"/>
      <c r="K28" s="51"/>
      <c r="L28" s="51"/>
      <c r="M28" s="51"/>
    </row>
    <row r="29" spans="1:13" ht="0.75" customHeight="1">
      <c r="A29" s="142"/>
      <c r="B29" s="197"/>
      <c r="C29" s="207"/>
      <c r="D29" s="208"/>
    </row>
    <row r="30" spans="1:13" ht="17.25" customHeight="1">
      <c r="A30" s="142"/>
      <c r="B30" s="200" t="str">
        <f>CONCATENATE("Analog tv i kabelnät[",'TV-tjänster'!A56,"]:")</f>
        <v>Analog tv i kabelnät[3]:</v>
      </c>
      <c r="C30" s="250" t="str">
        <f>IF(SUM(C31:C32)=0," ",SUM(C31:C32))</f>
        <v xml:space="preserve"> </v>
      </c>
      <c r="D30" s="251" t="str">
        <f>IF(SUM(D31:D32)=0," ",SUM(D31:D32))</f>
        <v xml:space="preserve"> </v>
      </c>
    </row>
    <row r="31" spans="1:13" ht="17.25" customHeight="1">
      <c r="A31" s="142"/>
      <c r="B31" s="514" t="str">
        <f>CONCATENATE("varav intäkter via avtal med fastighetsägare[",'TV-tjänster'!A58,"]:")</f>
        <v>varav intäkter via avtal med fastighetsägare[5]:</v>
      </c>
      <c r="C31" s="239"/>
      <c r="D31" s="209"/>
    </row>
    <row r="32" spans="1:13" ht="17.25" customHeight="1">
      <c r="A32" s="142"/>
      <c r="B32" s="210" t="s">
        <v>100</v>
      </c>
      <c r="C32" s="204"/>
      <c r="D32" s="209"/>
    </row>
    <row r="33" spans="1:6" ht="17.25" customHeight="1">
      <c r="A33" s="142"/>
      <c r="B33" s="237" t="str">
        <f>CONCATENATE("Digital tv i kabelnät [",'TV-tjänster'!A57,"]:")</f>
        <v>Digital tv i kabelnät [4]:</v>
      </c>
      <c r="C33" s="253" t="str">
        <f>IF(SUM(C34:C35)=0," ",SUM(C34:C35))</f>
        <v xml:space="preserve"> </v>
      </c>
      <c r="D33" s="252" t="str">
        <f>IF(SUM(D34:D35)=0," ",SUM(D34:D35))</f>
        <v xml:space="preserve"> </v>
      </c>
    </row>
    <row r="34" spans="1:6" ht="17.25" customHeight="1">
      <c r="A34" s="142"/>
      <c r="B34" s="363" t="str">
        <f>CONCATENATE("varav via avtal med fastighetsägare[",'TV-tjänster'!A58,"]:")</f>
        <v>varav via avtal med fastighetsägare[5]:</v>
      </c>
      <c r="C34" s="239"/>
      <c r="D34" s="209"/>
    </row>
    <row r="35" spans="1:6" ht="17.25" customHeight="1">
      <c r="A35" s="142"/>
      <c r="B35" s="364" t="s">
        <v>218</v>
      </c>
      <c r="C35" s="204"/>
      <c r="D35" s="209"/>
    </row>
    <row r="36" spans="1:6" ht="17.25" customHeight="1">
      <c r="A36" s="142"/>
      <c r="B36" s="205" t="str">
        <f>CONCATENATE("Iptv i fiber eller fiber- LAN [",'TV-tjänster'!A59,"]:")</f>
        <v>Iptv i fiber eller fiber- LAN [6]:</v>
      </c>
      <c r="C36" s="253" t="str">
        <f>IF(SUM(C37:C38)=0," ",SUM(C37:C38))</f>
        <v xml:space="preserve"> </v>
      </c>
      <c r="D36" s="252" t="str">
        <f>IF(SUM(D37:D38)=0," ",SUM(D37:D38))</f>
        <v xml:space="preserve"> </v>
      </c>
    </row>
    <row r="37" spans="1:6" ht="17.25" customHeight="1">
      <c r="A37" s="142"/>
      <c r="B37" s="363" t="str">
        <f>CONCATENATE("varav via avtal med fastighetsägare[",'TV-tjänster'!A58,"]:")</f>
        <v>varav via avtal med fastighetsägare[5]:</v>
      </c>
      <c r="C37" s="361"/>
      <c r="D37" s="209"/>
    </row>
    <row r="38" spans="1:6" ht="17.25" customHeight="1">
      <c r="A38" s="142"/>
      <c r="B38" s="210" t="s">
        <v>218</v>
      </c>
      <c r="C38" s="204"/>
      <c r="D38" s="209"/>
    </row>
    <row r="39" spans="1:6" ht="17.25" customHeight="1">
      <c r="A39" s="142"/>
      <c r="B39" s="205" t="s">
        <v>133</v>
      </c>
      <c r="C39" s="204"/>
      <c r="D39" s="365"/>
      <c r="E39" s="503"/>
    </row>
    <row r="40" spans="1:6" ht="17.25" customHeight="1">
      <c r="A40" s="142"/>
      <c r="B40" s="366" t="s">
        <v>219</v>
      </c>
      <c r="C40" s="204"/>
      <c r="D40" s="204"/>
    </row>
    <row r="41" spans="1:6" ht="17.25" customHeight="1">
      <c r="A41" s="142"/>
      <c r="B41" s="367" t="s">
        <v>220</v>
      </c>
      <c r="C41" s="203"/>
      <c r="D41" s="368"/>
    </row>
    <row r="42" spans="1:6" ht="17.25" customHeight="1" thickBot="1">
      <c r="A42" s="142"/>
      <c r="B42" s="369" t="s">
        <v>82</v>
      </c>
      <c r="C42" s="370"/>
      <c r="D42" s="371"/>
    </row>
    <row r="43" spans="1:6" ht="17.25" customHeight="1" thickTop="1">
      <c r="A43" s="142"/>
      <c r="B43" s="362" t="s">
        <v>23</v>
      </c>
      <c r="C43" s="372" t="str">
        <f>IF(SUM(C30,C33,C36,C39:C42)=0," ",SUM(C30,C33,C36,C39:C42))</f>
        <v xml:space="preserve"> </v>
      </c>
      <c r="D43" s="372" t="str">
        <f>IF(SUM(D30,D33,D36,D39:D42)=0," ",SUM(D30,D33,D36,D39:D42))</f>
        <v xml:space="preserve"> </v>
      </c>
    </row>
    <row r="44" spans="1:6" ht="34.5" customHeight="1">
      <c r="A44" s="142"/>
      <c r="B44" s="1168" t="s">
        <v>50</v>
      </c>
      <c r="C44" s="1216"/>
      <c r="D44" s="1217"/>
    </row>
    <row r="45" spans="1:6" ht="12.75" customHeight="1">
      <c r="A45" s="142"/>
      <c r="B45" s="268"/>
      <c r="C45" s="269"/>
      <c r="D45" s="269"/>
    </row>
    <row r="46" spans="1:6" s="51" customFormat="1" ht="40.5" customHeight="1">
      <c r="A46" s="142"/>
      <c r="B46" s="1221" t="s">
        <v>511</v>
      </c>
      <c r="C46" s="1222"/>
      <c r="D46" s="1223"/>
      <c r="E46" s="478"/>
      <c r="F46" s="478"/>
    </row>
    <row r="47" spans="1:6" ht="75" customHeight="1">
      <c r="A47" s="142"/>
      <c r="B47" s="1195" t="str">
        <f>CONCATENATE("Fråga 41: Antal hushåll som köper tv-kanaler via agenter för programbolagen. Med agenter avses programagenturer som säljer tv-kanaler vidare till t.ex. nät- och fastighetsägare och kabel-tv-operatörer (SMATV). Sappa och Canal Digital har sådan verksamhet.",'Om detta formulär'!C10,":")</f>
        <v>Fråga 41: Antal hushåll som köper tv-kanaler via agenter för programbolagen. Med agenter avses programagenturer som säljer tv-kanaler vidare till t.ex. nät- och fastighetsägare och kabel-tv-operatörer (SMATV). Sappa och Canal Digital har sådan verksamhet.31 dec 2019:</v>
      </c>
      <c r="C47" s="1219"/>
      <c r="D47" s="1220"/>
      <c r="E47" s="923" t="s">
        <v>512</v>
      </c>
      <c r="F47" s="593"/>
    </row>
    <row r="48" spans="1:6" ht="11.25" customHeight="1">
      <c r="A48" s="142"/>
      <c r="B48" s="197"/>
      <c r="C48" s="198"/>
      <c r="D48" s="199" t="s">
        <v>97</v>
      </c>
    </row>
    <row r="49" spans="1:6">
      <c r="A49" s="142"/>
      <c r="B49" s="200" t="s">
        <v>98</v>
      </c>
      <c r="C49" s="201"/>
      <c r="D49" s="307" t="str">
        <f>IF(SUM(D50,D51)=0," ",SUM(D50,D51))</f>
        <v xml:space="preserve"> </v>
      </c>
    </row>
    <row r="50" spans="1:6">
      <c r="A50" s="142"/>
      <c r="B50" s="1224" t="s">
        <v>252</v>
      </c>
      <c r="C50" s="1225"/>
      <c r="D50" s="203"/>
      <c r="E50" s="50"/>
      <c r="F50" s="50"/>
    </row>
    <row r="51" spans="1:6" ht="12.75" customHeight="1">
      <c r="A51" s="142"/>
      <c r="B51" s="1224" t="s">
        <v>99</v>
      </c>
      <c r="C51" s="1226"/>
      <c r="D51" s="204"/>
      <c r="E51" s="50"/>
      <c r="F51" s="50"/>
    </row>
    <row r="52" spans="1:6" ht="34.5" customHeight="1">
      <c r="A52" s="142"/>
      <c r="B52" s="1168" t="s">
        <v>50</v>
      </c>
      <c r="C52" s="1216"/>
      <c r="D52" s="1217"/>
    </row>
    <row r="53" spans="1:6">
      <c r="A53" s="142"/>
      <c r="B53" s="1218" t="s">
        <v>283</v>
      </c>
      <c r="C53" s="1218"/>
      <c r="D53" s="1218"/>
    </row>
    <row r="54" spans="1:6" ht="46.35" customHeight="1">
      <c r="A54" s="519">
        <v>1</v>
      </c>
      <c r="B54" s="675" t="s">
        <v>166</v>
      </c>
      <c r="C54" s="142"/>
      <c r="D54" s="142"/>
    </row>
    <row r="55" spans="1:6" ht="180">
      <c r="A55" s="519">
        <v>2</v>
      </c>
      <c r="B55" s="653" t="s">
        <v>288</v>
      </c>
      <c r="C55" s="142"/>
      <c r="D55" s="142"/>
    </row>
    <row r="56" spans="1:6" ht="22.5">
      <c r="A56" s="519">
        <v>3</v>
      </c>
      <c r="B56" s="676" t="s">
        <v>124</v>
      </c>
      <c r="C56" s="142"/>
      <c r="D56" s="142"/>
    </row>
    <row r="57" spans="1:6" ht="22.5">
      <c r="A57" s="519">
        <v>4</v>
      </c>
      <c r="B57" s="676" t="s">
        <v>125</v>
      </c>
      <c r="C57" s="142"/>
      <c r="D57" s="142"/>
    </row>
    <row r="58" spans="1:6" ht="33.75">
      <c r="A58" s="519">
        <v>5</v>
      </c>
      <c r="B58" s="676" t="s">
        <v>204</v>
      </c>
      <c r="C58" s="142"/>
      <c r="D58" s="142"/>
    </row>
    <row r="59" spans="1:6" ht="45">
      <c r="A59" s="519">
        <v>6</v>
      </c>
      <c r="B59" s="653" t="s">
        <v>202</v>
      </c>
      <c r="C59" s="142"/>
      <c r="D59" s="142"/>
    </row>
    <row r="60" spans="1:6" ht="67.5">
      <c r="A60" s="65">
        <v>7</v>
      </c>
      <c r="B60" s="677" t="s">
        <v>289</v>
      </c>
      <c r="C60" s="142"/>
      <c r="D60" s="142"/>
    </row>
    <row r="61" spans="1:6" ht="33.75">
      <c r="A61" s="65">
        <v>8</v>
      </c>
      <c r="B61" s="653" t="s">
        <v>127</v>
      </c>
      <c r="C61" s="142"/>
      <c r="D61" s="142"/>
    </row>
    <row r="62" spans="1:6" ht="33.75">
      <c r="A62" s="65">
        <v>9</v>
      </c>
      <c r="B62" s="653" t="s">
        <v>180</v>
      </c>
      <c r="C62" s="142"/>
      <c r="D62" s="142"/>
    </row>
    <row r="63" spans="1:6" ht="78" customHeight="1">
      <c r="A63" s="65">
        <v>10</v>
      </c>
      <c r="B63" s="653" t="s">
        <v>290</v>
      </c>
      <c r="C63" s="142"/>
      <c r="D63" s="142"/>
    </row>
  </sheetData>
  <mergeCells count="22">
    <mergeCell ref="B17:C17"/>
    <mergeCell ref="B11:C11"/>
    <mergeCell ref="B12:C12"/>
    <mergeCell ref="B13:C13"/>
    <mergeCell ref="B14:C14"/>
    <mergeCell ref="B16:C16"/>
    <mergeCell ref="B2:D2"/>
    <mergeCell ref="B3:D3"/>
    <mergeCell ref="B5:D5"/>
    <mergeCell ref="B8:C8"/>
    <mergeCell ref="B9:C9"/>
    <mergeCell ref="B18:C18"/>
    <mergeCell ref="B20:C20"/>
    <mergeCell ref="B25:D25"/>
    <mergeCell ref="B53:D53"/>
    <mergeCell ref="B27:D27"/>
    <mergeCell ref="B44:D44"/>
    <mergeCell ref="B52:D52"/>
    <mergeCell ref="B46:D46"/>
    <mergeCell ref="B47:D47"/>
    <mergeCell ref="B50:C50"/>
    <mergeCell ref="B51:C51"/>
  </mergeCells>
  <pageMargins left="0.78740157480314965" right="0.86614173228346458" top="0.47244094488188981" bottom="0.47244094488188981" header="0.51181102362204722" footer="0.51181102362204722"/>
  <pageSetup paperSize="9" scale="98" fitToHeight="0" orientation="portrait" r:id="rId1"/>
  <headerFooter alignWithMargins="0">
    <oddFooter>&amp;CSida &amp;P(&amp;N)</oddFooter>
  </headerFooter>
  <rowBreaks count="2" manualBreakCount="2">
    <brk id="25" max="16383" man="1"/>
    <brk id="5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L35"/>
  <sheetViews>
    <sheetView showGridLines="0" view="pageBreakPreview" zoomScaleNormal="100" zoomScaleSheetLayoutView="100" workbookViewId="0">
      <pane ySplit="2" topLeftCell="A4" activePane="bottomLeft" state="frozen"/>
      <selection activeCell="B24" sqref="B24"/>
      <selection pane="bottomLeft" activeCell="H7" sqref="H7"/>
    </sheetView>
  </sheetViews>
  <sheetFormatPr defaultColWidth="9.140625" defaultRowHeight="12.75"/>
  <cols>
    <col min="1" max="1" width="3.42578125" style="50" customWidth="1"/>
    <col min="2" max="2" width="57.42578125" style="50" customWidth="1"/>
    <col min="3" max="3" width="8.140625" style="191" customWidth="1"/>
    <col min="4" max="4" width="8.42578125" style="191" customWidth="1"/>
    <col min="5" max="5" width="9.5703125" style="191" customWidth="1"/>
    <col min="6" max="6" width="6.42578125" style="50" customWidth="1"/>
    <col min="7" max="7" width="16.85546875" style="50" customWidth="1"/>
    <col min="8" max="8" width="9.140625" style="50"/>
    <col min="9" max="9" width="40.85546875" style="50" customWidth="1"/>
    <col min="10" max="16384" width="9.140625" style="50"/>
  </cols>
  <sheetData>
    <row r="1" spans="1:12" s="51" customFormat="1" ht="9" customHeight="1" thickBot="1">
      <c r="A1" s="142"/>
      <c r="B1" s="113"/>
      <c r="C1" s="163"/>
      <c r="D1" s="1111"/>
      <c r="E1" s="1111"/>
    </row>
    <row r="2" spans="1:12" s="51" customFormat="1" ht="17.25" customHeight="1">
      <c r="A2" s="212"/>
      <c r="B2" s="1237" t="s">
        <v>51</v>
      </c>
      <c r="C2" s="1105"/>
      <c r="D2" s="1105"/>
      <c r="E2" s="1105"/>
      <c r="F2" s="877" t="s">
        <v>550</v>
      </c>
      <c r="G2" s="50"/>
      <c r="H2" s="50"/>
      <c r="I2" s="56"/>
      <c r="J2" s="56"/>
    </row>
    <row r="3" spans="1:12" s="51" customFormat="1" ht="16.350000000000001" customHeight="1">
      <c r="A3" s="212"/>
      <c r="B3" s="1238" t="s">
        <v>309</v>
      </c>
      <c r="C3" s="1239"/>
      <c r="D3" s="1239"/>
      <c r="E3" s="1240"/>
      <c r="F3" s="50"/>
      <c r="G3" s="544"/>
      <c r="H3" s="541"/>
      <c r="I3" s="56"/>
      <c r="J3" s="56"/>
    </row>
    <row r="4" spans="1:12" s="51" customFormat="1">
      <c r="A4" s="212"/>
      <c r="B4" s="68"/>
      <c r="C4" s="211"/>
      <c r="D4" s="211"/>
      <c r="E4" s="211"/>
      <c r="F4" s="56"/>
      <c r="G4" s="50"/>
      <c r="H4" s="56"/>
      <c r="I4" s="56"/>
      <c r="J4" s="56"/>
    </row>
    <row r="5" spans="1:12" ht="69.75" customHeight="1">
      <c r="A5" s="212"/>
      <c r="B5" s="1195" t="s">
        <v>513</v>
      </c>
      <c r="C5" s="1196"/>
      <c r="D5" s="1196"/>
      <c r="E5" s="1197"/>
      <c r="F5" s="264" t="s">
        <v>514</v>
      </c>
    </row>
    <row r="6" spans="1:12" ht="173.25" customHeight="1">
      <c r="A6" s="212"/>
      <c r="B6" s="1241" t="s">
        <v>466</v>
      </c>
      <c r="C6" s="1242"/>
      <c r="D6" s="1242"/>
      <c r="E6" s="1243"/>
      <c r="F6" s="264" t="s">
        <v>467</v>
      </c>
      <c r="H6" s="949" t="s">
        <v>558</v>
      </c>
      <c r="I6" s="1235" t="s">
        <v>399</v>
      </c>
      <c r="J6" s="1236"/>
      <c r="K6" s="1236"/>
      <c r="L6" s="1236"/>
    </row>
    <row r="7" spans="1:12">
      <c r="A7" s="212"/>
      <c r="B7" s="291" t="s">
        <v>52</v>
      </c>
      <c r="C7" s="341" t="s">
        <v>18</v>
      </c>
      <c r="D7" s="341" t="s">
        <v>19</v>
      </c>
      <c r="E7" s="292" t="s">
        <v>20</v>
      </c>
    </row>
    <row r="8" spans="1:12">
      <c r="A8" s="212"/>
      <c r="B8" s="117" t="s">
        <v>53</v>
      </c>
      <c r="C8" s="118"/>
      <c r="D8" s="118"/>
      <c r="E8" s="213"/>
    </row>
    <row r="9" spans="1:12">
      <c r="A9" s="212"/>
      <c r="B9" s="214" t="s">
        <v>173</v>
      </c>
      <c r="C9" s="280"/>
      <c r="D9" s="216"/>
      <c r="E9" s="128" t="str">
        <f t="shared" ref="E9:E11" si="0">IF(SUM(C9:D9)=0," ",SUM(C9:D9))</f>
        <v xml:space="preserve"> </v>
      </c>
    </row>
    <row r="10" spans="1:12">
      <c r="A10" s="212"/>
      <c r="B10" s="217" t="s">
        <v>54</v>
      </c>
      <c r="C10" s="218"/>
      <c r="D10" s="279"/>
      <c r="E10" s="122" t="str">
        <f t="shared" si="0"/>
        <v xml:space="preserve"> </v>
      </c>
    </row>
    <row r="11" spans="1:12">
      <c r="A11" s="212"/>
      <c r="B11" s="217" t="s">
        <v>295</v>
      </c>
      <c r="C11" s="276"/>
      <c r="D11" s="279"/>
      <c r="E11" s="122" t="str">
        <f t="shared" si="0"/>
        <v xml:space="preserve"> </v>
      </c>
    </row>
    <row r="12" spans="1:12">
      <c r="A12" s="212"/>
      <c r="B12" s="217" t="s">
        <v>296</v>
      </c>
      <c r="C12" s="278"/>
      <c r="D12" s="277"/>
      <c r="E12" s="219" t="str">
        <f>IF(SUM(C12:D12)=0," ",SUM(C12:D12))</f>
        <v xml:space="preserve"> </v>
      </c>
    </row>
    <row r="13" spans="1:12">
      <c r="A13" s="212"/>
      <c r="B13" s="217" t="s">
        <v>372</v>
      </c>
      <c r="C13" s="218"/>
      <c r="D13" s="277"/>
      <c r="E13" s="219" t="str">
        <f>IF(SUM(C13:D13)=0," ",SUM(C13:D13))</f>
        <v xml:space="preserve"> </v>
      </c>
    </row>
    <row r="14" spans="1:12">
      <c r="A14" s="212"/>
      <c r="B14" s="217" t="s">
        <v>297</v>
      </c>
      <c r="C14" s="276"/>
      <c r="D14" s="279"/>
      <c r="E14" s="122" t="str">
        <f t="shared" ref="E14:E15" si="1">IF(SUM(C14:D14)=0," ",SUM(C14:D14))</f>
        <v xml:space="preserve"> </v>
      </c>
    </row>
    <row r="15" spans="1:12">
      <c r="A15" s="212"/>
      <c r="B15" s="383" t="s">
        <v>253</v>
      </c>
      <c r="C15" s="278"/>
      <c r="D15" s="279"/>
      <c r="E15" s="122" t="str">
        <f t="shared" si="1"/>
        <v xml:space="preserve"> </v>
      </c>
    </row>
    <row r="16" spans="1:12" ht="13.5" thickBot="1">
      <c r="A16" s="212"/>
      <c r="B16" s="220" t="s">
        <v>55</v>
      </c>
      <c r="C16" s="150"/>
      <c r="D16" s="137"/>
      <c r="E16" s="144" t="str">
        <f>IF(SUM(C16:D16)=0," ",SUM(C16:D16))</f>
        <v xml:space="preserve"> </v>
      </c>
    </row>
    <row r="17" spans="1:5" ht="13.5" thickTop="1">
      <c r="A17" s="212"/>
      <c r="B17" s="221" t="s">
        <v>189</v>
      </c>
      <c r="C17" s="222" t="str">
        <f>IF(SUM(C9:C16)=0," ",SUM(C9:C16))</f>
        <v xml:space="preserve"> </v>
      </c>
      <c r="D17" s="223" t="str">
        <f>IF(SUM(D9:D16)=0," ",SUM(D9:D16))</f>
        <v xml:space="preserve"> </v>
      </c>
      <c r="E17" s="224" t="str">
        <f>IF(SUM(C17:D17)=0," ",SUM(C17:D17))</f>
        <v xml:space="preserve"> </v>
      </c>
    </row>
    <row r="18" spans="1:5">
      <c r="A18" s="212"/>
      <c r="B18" s="117" t="s">
        <v>56</v>
      </c>
      <c r="C18" s="184"/>
      <c r="D18" s="184"/>
      <c r="E18" s="119"/>
    </row>
    <row r="19" spans="1:5">
      <c r="A19" s="212"/>
      <c r="B19" s="214" t="s">
        <v>254</v>
      </c>
      <c r="C19" s="215"/>
      <c r="D19" s="281"/>
      <c r="E19" s="128" t="str">
        <f t="shared" ref="E19:E24" si="2">IF(SUM(C19:D19)=0," ",SUM(C19:D19))</f>
        <v xml:space="preserve"> </v>
      </c>
    </row>
    <row r="20" spans="1:5">
      <c r="A20" s="212"/>
      <c r="B20" s="217" t="s">
        <v>298</v>
      </c>
      <c r="C20" s="276"/>
      <c r="D20" s="279"/>
      <c r="E20" s="122" t="str">
        <f t="shared" si="2"/>
        <v xml:space="preserve"> </v>
      </c>
    </row>
    <row r="21" spans="1:5">
      <c r="A21" s="212"/>
      <c r="B21" s="217" t="s">
        <v>299</v>
      </c>
      <c r="C21" s="278"/>
      <c r="D21" s="279"/>
      <c r="E21" s="122" t="str">
        <f t="shared" si="2"/>
        <v xml:space="preserve"> </v>
      </c>
    </row>
    <row r="22" spans="1:5">
      <c r="A22" s="212"/>
      <c r="B22" s="217" t="s">
        <v>300</v>
      </c>
      <c r="C22" s="278"/>
      <c r="D22" s="279"/>
      <c r="E22" s="122" t="str">
        <f t="shared" si="2"/>
        <v xml:space="preserve"> </v>
      </c>
    </row>
    <row r="23" spans="1:5" ht="13.5" thickBot="1">
      <c r="A23" s="212"/>
      <c r="B23" s="220" t="s">
        <v>55</v>
      </c>
      <c r="C23" s="225"/>
      <c r="D23" s="226"/>
      <c r="E23" s="144" t="str">
        <f t="shared" si="2"/>
        <v xml:space="preserve"> </v>
      </c>
    </row>
    <row r="24" spans="1:5" ht="13.5" thickTop="1">
      <c r="A24" s="212"/>
      <c r="B24" s="221" t="s">
        <v>188</v>
      </c>
      <c r="C24" s="227" t="str">
        <f>IF(SUM(C19:C23)=0," ",SUM(C19:C23))</f>
        <v xml:space="preserve"> </v>
      </c>
      <c r="D24" s="228" t="str">
        <f>IF(SUM(D19:D23)=0," ",SUM(D19:D23))</f>
        <v xml:space="preserve"> </v>
      </c>
      <c r="E24" s="224" t="str">
        <f t="shared" si="2"/>
        <v xml:space="preserve"> </v>
      </c>
    </row>
    <row r="25" spans="1:5">
      <c r="A25" s="212"/>
      <c r="B25" s="117" t="s">
        <v>137</v>
      </c>
      <c r="C25" s="118"/>
      <c r="D25" s="118"/>
      <c r="E25" s="119"/>
    </row>
    <row r="26" spans="1:5">
      <c r="A26" s="212"/>
      <c r="B26" s="214" t="s">
        <v>268</v>
      </c>
      <c r="C26" s="280"/>
      <c r="D26" s="281"/>
      <c r="E26" s="128" t="str">
        <f>IF(SUM(C26:D26)=0," ",SUM(C26:D26))</f>
        <v xml:space="preserve"> </v>
      </c>
    </row>
    <row r="27" spans="1:5" ht="13.5" thickBot="1">
      <c r="A27" s="212"/>
      <c r="B27" s="229" t="s">
        <v>55</v>
      </c>
      <c r="C27" s="230"/>
      <c r="D27" s="231"/>
      <c r="E27" s="144" t="str">
        <f>IF(SUM(C27:D27)=0," ",SUM(C27:D27))</f>
        <v xml:space="preserve"> </v>
      </c>
    </row>
    <row r="28" spans="1:5" ht="13.5" thickTop="1">
      <c r="A28" s="212"/>
      <c r="B28" s="232" t="s">
        <v>190</v>
      </c>
      <c r="C28" s="222" t="str">
        <f>IF(SUM(C26:C27)=0," ",SUM(C26:C27))</f>
        <v xml:space="preserve"> </v>
      </c>
      <c r="D28" s="223" t="str">
        <f>IF(SUM(D26:D27)=0," ",SUM(D26:D27))</f>
        <v xml:space="preserve"> </v>
      </c>
      <c r="E28" s="130" t="str">
        <f>IF(SUM(C28:D28)=0," ",SUM(C28:D28))</f>
        <v xml:space="preserve"> </v>
      </c>
    </row>
    <row r="29" spans="1:5" ht="13.5" thickBot="1">
      <c r="A29" s="212"/>
      <c r="B29" s="233"/>
      <c r="C29" s="234"/>
      <c r="D29" s="235"/>
      <c r="E29" s="236"/>
    </row>
    <row r="30" spans="1:5" ht="13.5" thickTop="1">
      <c r="A30" s="212"/>
      <c r="B30" s="152" t="s">
        <v>191</v>
      </c>
      <c r="C30" s="284" t="str">
        <f>IF(SUM(C17,C24,C28)=0," ",SUM(C17,C24,C28))</f>
        <v xml:space="preserve"> </v>
      </c>
      <c r="D30" s="285" t="str">
        <f>IF(SUM(D17,D24,D28)=0," ",SUM(D17,D24,D28))</f>
        <v xml:space="preserve"> </v>
      </c>
      <c r="E30" s="129" t="str">
        <f>IF(SUM(C30:D30)=0," ",SUM(C30:D30))</f>
        <v xml:space="preserve"> </v>
      </c>
    </row>
    <row r="31" spans="1:5">
      <c r="A31" s="212"/>
      <c r="B31" s="860"/>
      <c r="C31" s="286"/>
      <c r="D31" s="286"/>
      <c r="E31" s="305"/>
    </row>
    <row r="32" spans="1:5">
      <c r="A32" s="212"/>
      <c r="B32" s="1094" t="s">
        <v>50</v>
      </c>
      <c r="C32" s="1185"/>
      <c r="D32" s="1185"/>
      <c r="E32" s="1186"/>
    </row>
    <row r="33" spans="1:5">
      <c r="A33" s="212"/>
    </row>
    <row r="34" spans="1:5">
      <c r="A34" s="212"/>
      <c r="B34" s="540" t="s">
        <v>283</v>
      </c>
      <c r="C34" s="158"/>
      <c r="D34" s="158"/>
      <c r="E34" s="158"/>
    </row>
    <row r="35" spans="1:5">
      <c r="A35" s="436">
        <v>1</v>
      </c>
      <c r="B35" s="784" t="s">
        <v>371</v>
      </c>
      <c r="C35" s="784"/>
      <c r="D35" s="784"/>
      <c r="E35" s="784"/>
    </row>
  </sheetData>
  <mergeCells count="7">
    <mergeCell ref="I6:L6"/>
    <mergeCell ref="B5:E5"/>
    <mergeCell ref="B32:E32"/>
    <mergeCell ref="D1:E1"/>
    <mergeCell ref="B2:E2"/>
    <mergeCell ref="B3:E3"/>
    <mergeCell ref="B6:E6"/>
  </mergeCells>
  <pageMargins left="0.78740157480314965" right="0.78740157480314965" top="0.39370078740157483" bottom="0.35433070866141736" header="0.43307086614173229" footer="0.23622047244094491"/>
  <pageSetup paperSize="9" orientation="portrait" r:id="rId1"/>
  <headerFooter alignWithMargins="0">
    <oddFooter>&amp;CSida &amp;P(&amp;N)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pageSetUpPr fitToPage="1"/>
  </sheetPr>
  <dimension ref="A1:BB20"/>
  <sheetViews>
    <sheetView showGridLines="0" view="pageBreakPreview" zoomScaleNormal="100" zoomScaleSheetLayoutView="100" workbookViewId="0">
      <pane ySplit="2" topLeftCell="A3" activePane="bottomLeft" state="frozen"/>
      <selection activeCell="B24" sqref="B24"/>
      <selection pane="bottomLeft" activeCell="H11" sqref="H11"/>
    </sheetView>
  </sheetViews>
  <sheetFormatPr defaultColWidth="9.140625" defaultRowHeight="12.75"/>
  <cols>
    <col min="1" max="1" width="4.5703125" style="461" customWidth="1"/>
    <col min="2" max="2" width="58" style="50" customWidth="1"/>
    <col min="3" max="3" width="18.42578125" style="191" customWidth="1"/>
    <col min="4" max="4" width="17.5703125" style="461" customWidth="1"/>
    <col min="5" max="5" width="17.42578125" style="50" customWidth="1"/>
    <col min="6" max="6" width="9.140625" style="482" customWidth="1"/>
    <col min="7" max="54" width="9.140625" style="50" customWidth="1"/>
    <col min="55" max="16384" width="9.140625" style="116"/>
  </cols>
  <sheetData>
    <row r="1" spans="1:54" s="384" customFormat="1" ht="12" customHeight="1" thickBot="1">
      <c r="A1" s="575"/>
      <c r="B1" s="194"/>
      <c r="C1" s="460"/>
      <c r="D1" s="575"/>
      <c r="E1" s="569"/>
      <c r="F1" s="50"/>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row>
    <row r="2" spans="1:54" s="384" customFormat="1" ht="31.5" customHeight="1">
      <c r="A2" s="576"/>
      <c r="B2" s="1247" t="s">
        <v>241</v>
      </c>
      <c r="C2" s="1248"/>
      <c r="D2" s="1248"/>
      <c r="E2" s="1249"/>
      <c r="F2" s="877" t="s">
        <v>550</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row>
    <row r="3" spans="1:54" s="384" customFormat="1" ht="27" customHeight="1">
      <c r="A3" s="575"/>
      <c r="B3" s="1250" t="s">
        <v>362</v>
      </c>
      <c r="C3" s="1251"/>
      <c r="D3" s="927"/>
      <c r="E3" s="926"/>
      <c r="G3" s="50"/>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row>
    <row r="4" spans="1:54">
      <c r="A4" s="563"/>
      <c r="B4" s="1252" t="s">
        <v>422</v>
      </c>
      <c r="C4" s="1253"/>
      <c r="D4" s="1253"/>
      <c r="E4" s="1254"/>
    </row>
    <row r="5" spans="1:54" ht="104.25" customHeight="1">
      <c r="A5" s="563"/>
      <c r="B5" s="1255"/>
      <c r="C5" s="1256"/>
      <c r="D5" s="1256"/>
      <c r="E5" s="1257"/>
      <c r="F5" s="812" t="s">
        <v>515</v>
      </c>
      <c r="G5" s="823"/>
      <c r="H5" s="178"/>
      <c r="J5" s="178"/>
      <c r="K5" s="178"/>
      <c r="L5" s="178"/>
      <c r="M5" s="178"/>
      <c r="N5" s="178"/>
      <c r="O5" s="178"/>
    </row>
    <row r="6" spans="1:54" ht="33.75" customHeight="1">
      <c r="A6" s="563"/>
      <c r="B6" s="1258" t="s">
        <v>516</v>
      </c>
      <c r="C6" s="1259"/>
      <c r="D6" s="1259"/>
      <c r="E6" s="1260"/>
      <c r="F6" s="503" t="s">
        <v>537</v>
      </c>
      <c r="G6" s="775"/>
      <c r="H6" s="543"/>
      <c r="I6" s="543"/>
      <c r="J6" s="543"/>
      <c r="K6" s="543"/>
      <c r="L6" s="543"/>
      <c r="M6" s="543"/>
      <c r="N6" s="543"/>
      <c r="O6" s="178"/>
    </row>
    <row r="7" spans="1:54" ht="16.5" customHeight="1" thickBot="1">
      <c r="A7" s="563"/>
      <c r="B7" s="703"/>
      <c r="C7" s="1244"/>
      <c r="D7" s="1245"/>
      <c r="E7" s="1246"/>
    </row>
    <row r="8" spans="1:54">
      <c r="A8" s="563"/>
      <c r="B8" s="523"/>
      <c r="C8" s="520" t="s">
        <v>20</v>
      </c>
      <c r="D8" s="521" t="s">
        <v>401</v>
      </c>
      <c r="E8" s="522" t="s">
        <v>292</v>
      </c>
      <c r="F8" s="196"/>
      <c r="H8" s="196"/>
    </row>
    <row r="9" spans="1:54">
      <c r="A9" s="563"/>
      <c r="B9" s="551" t="s">
        <v>242</v>
      </c>
      <c r="C9" s="822" t="str">
        <f>IF(SUM(D9:E9)=0," ",SUM(D9:E9))</f>
        <v xml:space="preserve"> </v>
      </c>
      <c r="D9" s="505"/>
      <c r="E9" s="506"/>
    </row>
    <row r="10" spans="1:54" ht="15">
      <c r="A10" s="563"/>
      <c r="B10" s="551" t="s">
        <v>291</v>
      </c>
      <c r="C10" s="822" t="str">
        <f t="shared" ref="C10:C11" si="0">IF(SUM(D10:E10)=0," ",SUM(D10:E10))</f>
        <v xml:space="preserve"> </v>
      </c>
      <c r="D10" s="507"/>
      <c r="E10" s="508"/>
    </row>
    <row r="11" spans="1:54" s="807" customFormat="1" ht="15">
      <c r="A11" s="563"/>
      <c r="B11" s="551" t="s">
        <v>243</v>
      </c>
      <c r="C11" s="822" t="str">
        <f t="shared" si="0"/>
        <v xml:space="preserve"> </v>
      </c>
      <c r="D11" s="510"/>
      <c r="E11" s="511"/>
      <c r="F11" s="482"/>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row>
    <row r="12" spans="1:54">
      <c r="A12" s="563"/>
      <c r="B12" s="815" t="s">
        <v>381</v>
      </c>
      <c r="C12" s="683" t="str">
        <f>IF(SUM(C9,C10,C11)=0," ",SUM(C9,C10,C11))</f>
        <v xml:space="preserve"> </v>
      </c>
      <c r="D12" s="683" t="str">
        <f t="shared" ref="D12:E12" si="1">IF(SUM(D9,D10,D11)=0," ",SUM(D9,D10,D11))</f>
        <v xml:space="preserve"> </v>
      </c>
      <c r="E12" s="683" t="str">
        <f t="shared" si="1"/>
        <v xml:space="preserve"> </v>
      </c>
    </row>
    <row r="13" spans="1:54">
      <c r="A13" s="563"/>
      <c r="B13" s="509"/>
      <c r="C13" s="504"/>
      <c r="D13" s="504"/>
      <c r="E13" s="504"/>
    </row>
    <row r="14" spans="1:54" ht="15.75">
      <c r="A14" s="563"/>
      <c r="B14" s="562" t="s">
        <v>283</v>
      </c>
    </row>
    <row r="15" spans="1:54" ht="114.75">
      <c r="A15" s="65">
        <v>6</v>
      </c>
      <c r="B15" s="512" t="s">
        <v>247</v>
      </c>
      <c r="C15" s="467"/>
      <c r="D15" s="563"/>
      <c r="E15" s="142"/>
    </row>
    <row r="16" spans="1:54" ht="76.5">
      <c r="A16" s="65">
        <v>7</v>
      </c>
      <c r="B16" s="512" t="s">
        <v>248</v>
      </c>
      <c r="C16" s="467"/>
      <c r="D16" s="563"/>
      <c r="E16" s="142"/>
    </row>
    <row r="17" spans="1:5" ht="25.5">
      <c r="A17" s="65">
        <v>8</v>
      </c>
      <c r="B17" s="512" t="s">
        <v>244</v>
      </c>
      <c r="C17" s="467"/>
      <c r="D17" s="563"/>
      <c r="E17" s="142"/>
    </row>
    <row r="18" spans="1:5" ht="38.25">
      <c r="A18" s="65">
        <v>9</v>
      </c>
      <c r="B18" s="512" t="s">
        <v>245</v>
      </c>
      <c r="C18" s="467"/>
      <c r="D18" s="563"/>
      <c r="E18" s="142"/>
    </row>
    <row r="19" spans="1:5" ht="25.5">
      <c r="A19" s="65">
        <v>10</v>
      </c>
      <c r="B19" s="512" t="s">
        <v>246</v>
      </c>
      <c r="C19" s="467"/>
      <c r="D19" s="563"/>
      <c r="E19" s="142"/>
    </row>
    <row r="20" spans="1:5">
      <c r="A20" s="579"/>
      <c r="B20" s="178"/>
      <c r="C20" s="580"/>
      <c r="D20" s="579"/>
      <c r="E20" s="178"/>
    </row>
  </sheetData>
  <mergeCells count="5">
    <mergeCell ref="C7:E7"/>
    <mergeCell ref="B2:E2"/>
    <mergeCell ref="B3:C3"/>
    <mergeCell ref="B4:E5"/>
    <mergeCell ref="B6:E6"/>
  </mergeCells>
  <pageMargins left="0.78740157480314965" right="0.31496062992125984" top="0.15748031496062992" bottom="0.15748031496062992" header="0.15748031496062992" footer="0.15748031496062992"/>
  <pageSetup paperSize="9" scale="80" fitToHeight="0" orientation="portrait" r:id="rId1"/>
  <headerFooter alignWithMargins="0">
    <oddFooter>&amp;CSida &amp;P(&amp;N)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pageSetUpPr fitToPage="1"/>
  </sheetPr>
  <dimension ref="A1:AT19"/>
  <sheetViews>
    <sheetView showGridLines="0" view="pageBreakPreview" zoomScaleNormal="100" zoomScaleSheetLayoutView="100" workbookViewId="0">
      <pane ySplit="2" topLeftCell="A3" activePane="bottomLeft" state="frozen"/>
      <selection activeCell="B24" sqref="B24"/>
      <selection pane="bottomLeft" activeCell="H8" sqref="H8"/>
    </sheetView>
  </sheetViews>
  <sheetFormatPr defaultColWidth="9.140625" defaultRowHeight="12.75"/>
  <cols>
    <col min="1" max="1" width="4.5703125" style="50" customWidth="1"/>
    <col min="2" max="2" width="73.42578125" style="50" customWidth="1"/>
    <col min="3" max="3" width="16.42578125" style="191" customWidth="1"/>
    <col min="4" max="46" width="9.140625" style="50" customWidth="1"/>
    <col min="47" max="16384" width="9.140625" style="116"/>
  </cols>
  <sheetData>
    <row r="1" spans="1:46" s="384" customFormat="1" ht="9.75" customHeight="1" thickBot="1">
      <c r="A1" s="142"/>
      <c r="B1" s="469"/>
      <c r="C1" s="470"/>
      <c r="D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row>
    <row r="2" spans="1:46" s="384" customFormat="1" ht="28.5" customHeight="1" thickBot="1">
      <c r="A2" s="142"/>
      <c r="B2" s="1227" t="s">
        <v>373</v>
      </c>
      <c r="C2" s="1229"/>
      <c r="D2" s="877" t="s">
        <v>550</v>
      </c>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row>
    <row r="3" spans="1:46" s="384" customFormat="1" ht="20.25" customHeight="1">
      <c r="A3" s="142"/>
      <c r="B3" s="1140" t="s">
        <v>267</v>
      </c>
      <c r="C3" s="1141"/>
      <c r="D3" s="540"/>
      <c r="E3" s="540"/>
      <c r="F3" s="541"/>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row>
    <row r="4" spans="1:46" s="142" customFormat="1" ht="60.75" customHeight="1">
      <c r="A4" s="563"/>
      <c r="B4" s="1075" t="str">
        <f>CONCATENATE("Fråga 44:  Intäkter (tusentals kronor) från nätverkstjänster till företagskunder, med eller utan SLA.Här ska inte grossistförsäljning av bredbandsanslutningar till konsumenter (kommunikationsoperatör-verksamhet) ingå.  [",'Datakom-tj. - slutkund'!A16,"] i Sverige under ",'Om detta formulär'!C6,":")</f>
        <v>Fråga 44:  Intäkter (tusentals kronor) från nätverkstjänster till företagskunder, med eller utan SLA.Här ska inte grossistförsäljning av bredbandsanslutningar till konsumenter (kommunikationsoperatör-verksamhet) ingå.  [1] i Sverige under 2019:</v>
      </c>
      <c r="C4" s="1077"/>
      <c r="D4" s="142" t="s">
        <v>536</v>
      </c>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row>
    <row r="5" spans="1:46" s="142" customFormat="1" ht="15.75">
      <c r="B5" s="471"/>
      <c r="C5" s="154" t="s">
        <v>20</v>
      </c>
      <c r="D5" s="823"/>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row>
    <row r="6" spans="1:46" s="468" customFormat="1" ht="17.100000000000001" customHeight="1">
      <c r="A6" s="582"/>
      <c r="B6" s="552" t="str">
        <f>CONCATENATE("TDM-baserade kapacitetstjänster (SDH/PDH) till slutkund [",'Datakom-tj. - slutkund'!A17,"], [",'Datakom-tj. - slutkund'!A16,"]:")</f>
        <v>TDM-baserade kapacitetstjänster (SDH/PDH) till slutkund [2], [1]:</v>
      </c>
      <c r="C6" s="472"/>
      <c r="D6" s="50"/>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row>
    <row r="7" spans="1:46" s="468" customFormat="1" ht="17.100000000000001" customHeight="1">
      <c r="A7" s="582"/>
      <c r="B7" s="552" t="str">
        <f>CONCATENATE("Ethernet-baserade [",'Datakom-tj. - slutkund'!A18,"] kapacitetstjänster till slutkund[",'Datakom-tj. - slutkund'!A16,"]:")</f>
        <v>Ethernet-baserade [3] kapacitetstjänster till slutkund[1]:</v>
      </c>
      <c r="C7" s="472"/>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row>
    <row r="8" spans="1:46" ht="17.100000000000001" customHeight="1">
      <c r="A8" s="142"/>
      <c r="B8" s="552" t="s">
        <v>210</v>
      </c>
      <c r="C8" s="472"/>
    </row>
    <row r="9" spans="1:46" s="142" customFormat="1" ht="17.100000000000001" customHeight="1" thickBot="1">
      <c r="B9" s="473" t="str">
        <f>CONCATENATE("IP-VPN[",'Datakom-tj. - slutkund'!A19,"]:")</f>
        <v>IP-VPN[4]:</v>
      </c>
      <c r="C9" s="472"/>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row>
    <row r="10" spans="1:46" s="142" customFormat="1" ht="17.100000000000001" customHeight="1" thickTop="1">
      <c r="B10" s="474" t="s">
        <v>23</v>
      </c>
      <c r="C10" s="380" t="str">
        <f>IF(SUM(C6,C7,C8,C9)=0," ",SUM(C6,C7,C8,#REF!,C9,#REF!,#REF!))</f>
        <v xml:space="preserve"> </v>
      </c>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row>
    <row r="11" spans="1:46" s="51" customFormat="1" ht="41.25" customHeight="1">
      <c r="A11" s="142"/>
      <c r="B11" s="1117" t="s">
        <v>46</v>
      </c>
      <c r="C11" s="1261"/>
    </row>
    <row r="12" spans="1:46" s="51" customFormat="1" ht="9.6" customHeight="1">
      <c r="A12" s="142"/>
      <c r="B12" s="475"/>
      <c r="C12" s="177"/>
    </row>
    <row r="13" spans="1:46" s="142" customFormat="1" ht="32.25" customHeight="1">
      <c r="A13" s="563"/>
      <c r="B13" s="1120" t="str">
        <f>CONCATENATE("Fråga borttagen:  Antal nationella installerade portar/uthyrda förbindelser till slutkund[",'Datakom-tj. - slutkund'!A16,"] den ",'Om detta formulär'!C10,":")</f>
        <v>Fråga borttagen:  Antal nationella installerade portar/uthyrda förbindelser till slutkund[1] den 31 dec 2019:</v>
      </c>
      <c r="C13" s="1122"/>
      <c r="D13" s="50" t="s">
        <v>517</v>
      </c>
      <c r="E13" s="264"/>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row>
    <row r="14" spans="1:46" s="360" customFormat="1" ht="10.7" customHeight="1">
      <c r="A14" s="583"/>
      <c r="B14" s="436"/>
      <c r="C14" s="131"/>
    </row>
    <row r="15" spans="1:46">
      <c r="A15" s="142"/>
      <c r="B15" s="540" t="s">
        <v>283</v>
      </c>
    </row>
    <row r="16" spans="1:46" ht="66" customHeight="1">
      <c r="A16" s="65">
        <v>1</v>
      </c>
      <c r="B16" s="353" t="s">
        <v>206</v>
      </c>
      <c r="C16" s="467"/>
    </row>
    <row r="17" spans="1:3" ht="25.5">
      <c r="A17" s="65">
        <v>2</v>
      </c>
      <c r="B17" s="353" t="s">
        <v>258</v>
      </c>
      <c r="C17" s="467"/>
    </row>
    <row r="18" spans="1:3" ht="27.75" customHeight="1">
      <c r="A18" s="519">
        <v>3</v>
      </c>
      <c r="B18" s="353" t="s">
        <v>259</v>
      </c>
      <c r="C18" s="467"/>
    </row>
    <row r="19" spans="1:3" ht="39.75" customHeight="1">
      <c r="A19" s="65">
        <v>4</v>
      </c>
      <c r="B19" s="351" t="s">
        <v>214</v>
      </c>
      <c r="C19" s="467"/>
    </row>
  </sheetData>
  <mergeCells count="5">
    <mergeCell ref="B2:C2"/>
    <mergeCell ref="B4:C4"/>
    <mergeCell ref="B11:C11"/>
    <mergeCell ref="B13:C13"/>
    <mergeCell ref="B3:C3"/>
  </mergeCells>
  <pageMargins left="0.78740157480314965" right="0.78740157480314965" top="0.39370078740157483" bottom="0.35433070866141736" header="0.43307086614173229" footer="0.23622047244094491"/>
  <pageSetup paperSize="9" scale="92" fitToHeight="0" orientation="portrait" r:id="rId1"/>
  <headerFooter alignWithMargins="0">
    <oddFooter>&amp;CSida &amp;P(&amp;N)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pageSetUpPr fitToPage="1"/>
  </sheetPr>
  <dimension ref="A1:BB19"/>
  <sheetViews>
    <sheetView showGridLines="0" view="pageBreakPreview" zoomScaleNormal="100" zoomScaleSheetLayoutView="100" workbookViewId="0">
      <pane ySplit="2" topLeftCell="A3" activePane="bottomLeft" state="frozen"/>
      <selection activeCell="B24" sqref="B24"/>
      <selection pane="bottomLeft" activeCell="H9" sqref="H9"/>
    </sheetView>
  </sheetViews>
  <sheetFormatPr defaultColWidth="9.140625" defaultRowHeight="12.75"/>
  <cols>
    <col min="1" max="1" width="4.5703125" style="461" customWidth="1"/>
    <col min="2" max="2" width="58" style="50" customWidth="1"/>
    <col min="3" max="3" width="18.42578125" style="191" customWidth="1"/>
    <col min="4" max="4" width="17.5703125" style="461" customWidth="1"/>
    <col min="5" max="5" width="17.42578125" style="50" customWidth="1"/>
    <col min="6" max="6" width="9.140625" style="482" customWidth="1"/>
    <col min="7" max="54" width="9.140625" style="50" customWidth="1"/>
    <col min="55" max="16384" width="9.140625" style="771"/>
  </cols>
  <sheetData>
    <row r="1" spans="1:54" s="384" customFormat="1" ht="12" customHeight="1" thickBot="1">
      <c r="A1" s="575"/>
      <c r="B1" s="194"/>
      <c r="C1" s="773"/>
      <c r="D1" s="575"/>
      <c r="E1" s="569"/>
      <c r="F1" s="577"/>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row>
    <row r="2" spans="1:54" s="384" customFormat="1" ht="31.5" customHeight="1" thickBot="1">
      <c r="A2" s="576"/>
      <c r="B2" s="1262" t="s">
        <v>342</v>
      </c>
      <c r="C2" s="1263"/>
      <c r="D2" s="1263"/>
      <c r="E2" s="1264"/>
      <c r="F2" s="877" t="s">
        <v>550</v>
      </c>
      <c r="G2" s="406"/>
      <c r="H2" s="406"/>
      <c r="I2" s="406"/>
      <c r="J2" s="406"/>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row>
    <row r="3" spans="1:54" s="384" customFormat="1" ht="27" customHeight="1">
      <c r="A3" s="575"/>
      <c r="B3" s="1265" t="s">
        <v>405</v>
      </c>
      <c r="C3" s="1266"/>
      <c r="D3" s="142"/>
      <c r="E3" s="142"/>
      <c r="F3" s="578"/>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row>
    <row r="4" spans="1:54" s="50" customFormat="1" ht="33.75" customHeight="1">
      <c r="A4" s="563"/>
      <c r="B4" s="1075" t="str">
        <f>CONCATENATE("Fråga 45: Intäkter (tusentals kronor) för våglängdsförbindelser [",' Svartfiber våglängd'!A17,"]. Här avses både slutkunder och grossistkunder i Sverige under ",'Om detta formulär'!C6,"")</f>
        <v>Fråga 45: Intäkter (tusentals kronor) för våglängdsförbindelser [4]. Här avses både slutkunder och grossistkunder i Sverige under 2019</v>
      </c>
      <c r="C4" s="1077"/>
      <c r="D4" s="142"/>
      <c r="E4" s="142"/>
      <c r="F4" s="503" t="s">
        <v>518</v>
      </c>
    </row>
    <row r="5" spans="1:54" s="50" customFormat="1" ht="15.75" customHeight="1">
      <c r="A5" s="563"/>
      <c r="B5" s="462"/>
      <c r="C5" s="182" t="s">
        <v>20</v>
      </c>
      <c r="D5" s="142"/>
      <c r="E5" s="142"/>
      <c r="F5" s="503"/>
    </row>
    <row r="6" spans="1:54" s="50" customFormat="1" ht="16.5" customHeight="1">
      <c r="A6" s="563"/>
      <c r="B6" s="548" t="s">
        <v>181</v>
      </c>
      <c r="C6" s="463"/>
      <c r="D6" s="142"/>
      <c r="E6" s="142"/>
      <c r="F6" s="482"/>
    </row>
    <row r="7" spans="1:54" s="50" customFormat="1" ht="16.5" customHeight="1">
      <c r="A7" s="563"/>
      <c r="B7" s="547" t="str">
        <f>CONCATENATE("varav koncerninterna intäkter[",' Svartfiber våglängd'!A16,"]:")</f>
        <v>varav koncerninterna intäkter[2]:</v>
      </c>
      <c r="C7" s="464"/>
      <c r="D7" s="142"/>
      <c r="E7" s="142"/>
      <c r="F7" s="482"/>
    </row>
    <row r="8" spans="1:54" s="50" customFormat="1" ht="16.5" customHeight="1">
      <c r="A8" s="563"/>
      <c r="B8" s="142"/>
      <c r="C8" s="467"/>
      <c r="D8" s="142"/>
      <c r="E8" s="142"/>
      <c r="F8" s="482"/>
    </row>
    <row r="9" spans="1:54" s="50" customFormat="1" ht="51" customHeight="1">
      <c r="A9" s="563"/>
      <c r="B9" s="1075" t="str">
        <f>CONCATENATE("Fråga 46: Intäkter (tusentals kronor) från uthyrning av svartfiberförbindelser[",' Svartfiber våglängd'!A18,"]. Här avses både slutkunder och grossistkunder i Sverige under ",'Om detta formulär'!C6,":")</f>
        <v>Fråga 46: Intäkter (tusentals kronor) från uthyrning av svartfiberförbindelser[5]. Här avses både slutkunder och grossistkunder i Sverige under 2019:</v>
      </c>
      <c r="C9" s="1077"/>
      <c r="D9" s="142"/>
      <c r="E9" s="142"/>
      <c r="F9" s="503" t="s">
        <v>519</v>
      </c>
    </row>
    <row r="10" spans="1:54" s="50" customFormat="1" ht="15.75">
      <c r="A10" s="563"/>
      <c r="B10" s="465"/>
      <c r="C10" s="772" t="s">
        <v>141</v>
      </c>
      <c r="D10" s="142"/>
      <c r="E10" s="142"/>
    </row>
    <row r="11" spans="1:54" s="50" customFormat="1">
      <c r="A11" s="563"/>
      <c r="B11" s="549" t="s">
        <v>213</v>
      </c>
      <c r="C11" s="466"/>
      <c r="D11" s="142"/>
      <c r="E11" s="142"/>
      <c r="F11" s="482"/>
    </row>
    <row r="12" spans="1:54" s="50" customFormat="1">
      <c r="A12" s="563"/>
      <c r="B12" s="550" t="str">
        <f>CONCATENATE("varav koncerninterna intäkter[",' Svartfiber våglängd'!A16,"]:")</f>
        <v>varav koncerninterna intäkter[2]:</v>
      </c>
      <c r="C12" s="466"/>
      <c r="D12" s="142"/>
      <c r="E12" s="142"/>
      <c r="F12" s="482"/>
    </row>
    <row r="13" spans="1:54" s="50" customFormat="1" ht="16.5" customHeight="1">
      <c r="A13" s="563"/>
      <c r="B13" s="468"/>
      <c r="C13" s="466"/>
      <c r="D13" s="142"/>
      <c r="E13" s="142"/>
      <c r="F13" s="482"/>
    </row>
    <row r="14" spans="1:54" s="50" customFormat="1" ht="15.75">
      <c r="A14" s="563"/>
      <c r="B14" s="562" t="s">
        <v>283</v>
      </c>
      <c r="C14" s="191"/>
      <c r="D14" s="461"/>
      <c r="F14" s="482"/>
    </row>
    <row r="15" spans="1:54" s="50" customFormat="1" ht="23.25" customHeight="1">
      <c r="A15" s="519">
        <v>1</v>
      </c>
      <c r="B15" s="351"/>
      <c r="C15" s="467"/>
      <c r="D15" s="563"/>
      <c r="E15" s="142"/>
      <c r="F15" s="503"/>
    </row>
    <row r="16" spans="1:54" s="50" customFormat="1">
      <c r="A16" s="519">
        <v>2</v>
      </c>
      <c r="B16" s="351" t="s">
        <v>108</v>
      </c>
      <c r="C16" s="467"/>
      <c r="D16" s="563"/>
      <c r="E16" s="142"/>
      <c r="F16" s="482"/>
    </row>
    <row r="17" spans="1:54" s="50" customFormat="1" ht="25.5" customHeight="1">
      <c r="A17" s="519">
        <v>4</v>
      </c>
      <c r="B17" s="351" t="s">
        <v>109</v>
      </c>
      <c r="C17" s="467"/>
      <c r="D17" s="563"/>
      <c r="E17" s="142"/>
      <c r="F17" s="482"/>
    </row>
    <row r="18" spans="1:54" s="142" customFormat="1" ht="38.25">
      <c r="A18" s="519">
        <v>5</v>
      </c>
      <c r="B18" s="560" t="s">
        <v>379</v>
      </c>
      <c r="C18" s="467"/>
      <c r="D18" s="563"/>
      <c r="F18" s="774"/>
    </row>
    <row r="19" spans="1:54" s="482" customFormat="1">
      <c r="A19" s="579"/>
      <c r="B19" s="178"/>
      <c r="C19" s="580"/>
      <c r="D19" s="579"/>
      <c r="E19" s="178"/>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row>
  </sheetData>
  <mergeCells count="4">
    <mergeCell ref="B2:E2"/>
    <mergeCell ref="B3:C3"/>
    <mergeCell ref="B4:C4"/>
    <mergeCell ref="B9:C9"/>
  </mergeCells>
  <pageMargins left="0.78740157480314965" right="0.31496062992125984" top="0.15748031496062992" bottom="0.15748031496062992" header="0.15748031496062992" footer="0.15748031496062992"/>
  <pageSetup paperSize="9" scale="80" fitToHeight="0" orientation="portrait" r:id="rId1"/>
  <headerFooter alignWithMargins="0">
    <oddFooter>&amp;CSida &amp;P(&amp;N)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A89"/>
  <sheetViews>
    <sheetView view="pageBreakPreview" zoomScale="90" zoomScaleNormal="100" zoomScaleSheetLayoutView="90" workbookViewId="0">
      <pane ySplit="2" topLeftCell="A3" activePane="bottomLeft" state="frozen"/>
      <selection activeCell="B24" sqref="B24"/>
      <selection pane="bottomLeft" activeCell="I5" sqref="I5"/>
    </sheetView>
  </sheetViews>
  <sheetFormatPr defaultColWidth="9.140625" defaultRowHeight="12.75" outlineLevelRow="1"/>
  <cols>
    <col min="1" max="1" width="3.140625" style="50" customWidth="1"/>
    <col min="2" max="2" width="64.140625" style="50" customWidth="1"/>
    <col min="3" max="3" width="19.42578125" style="191" customWidth="1"/>
    <col min="4" max="4" width="12.5703125" style="191" customWidth="1"/>
    <col min="5" max="5" width="9.140625" style="50" customWidth="1"/>
    <col min="6" max="8" width="4.5703125" style="50" customWidth="1"/>
    <col min="9" max="12" width="9.140625" style="50" customWidth="1"/>
    <col min="13" max="15" width="4.5703125" style="50" customWidth="1"/>
    <col min="16" max="19" width="9.140625" style="50" customWidth="1"/>
    <col min="20" max="22" width="4.5703125" style="50" customWidth="1"/>
    <col min="23" max="26" width="9.140625" style="50" customWidth="1"/>
    <col min="27" max="16384" width="9.140625" style="116"/>
  </cols>
  <sheetData>
    <row r="1" spans="1:27" s="384" customFormat="1" ht="15" customHeight="1" thickBot="1">
      <c r="A1" s="142"/>
      <c r="B1" s="194"/>
      <c r="C1" s="1278"/>
      <c r="D1" s="1278"/>
      <c r="E1" s="50"/>
      <c r="F1" s="50"/>
      <c r="G1" s="50"/>
      <c r="H1" s="50"/>
      <c r="I1" s="50"/>
      <c r="J1" s="50"/>
      <c r="K1" s="50"/>
      <c r="L1" s="50"/>
      <c r="M1" s="50"/>
      <c r="N1" s="50"/>
      <c r="O1" s="50"/>
      <c r="P1" s="50"/>
      <c r="Q1" s="50"/>
      <c r="R1" s="50"/>
      <c r="S1" s="50"/>
      <c r="T1" s="50"/>
      <c r="U1" s="50"/>
      <c r="V1" s="50"/>
      <c r="W1" s="50"/>
      <c r="X1" s="50"/>
      <c r="Y1" s="50"/>
      <c r="Z1" s="50"/>
      <c r="AA1" s="50"/>
    </row>
    <row r="2" spans="1:27" s="384" customFormat="1" ht="40.5" customHeight="1" thickBot="1">
      <c r="A2" s="142"/>
      <c r="B2" s="1279" t="s">
        <v>269</v>
      </c>
      <c r="C2" s="1280"/>
      <c r="D2" s="1281"/>
      <c r="E2" s="877" t="s">
        <v>550</v>
      </c>
      <c r="F2" s="50"/>
      <c r="G2" s="50"/>
      <c r="H2" s="50"/>
      <c r="I2" s="50"/>
      <c r="J2" s="50"/>
      <c r="K2" s="50"/>
      <c r="L2" s="50"/>
      <c r="M2" s="50"/>
      <c r="N2" s="50"/>
      <c r="O2" s="50"/>
      <c r="P2" s="50"/>
      <c r="Q2" s="50"/>
      <c r="R2" s="50"/>
      <c r="S2" s="50"/>
      <c r="T2" s="50"/>
      <c r="U2" s="50"/>
      <c r="V2" s="50"/>
      <c r="W2" s="50"/>
      <c r="X2" s="50"/>
      <c r="Y2" s="50"/>
      <c r="Z2" s="50"/>
      <c r="AA2" s="50"/>
    </row>
    <row r="3" spans="1:27" s="384" customFormat="1" ht="33" customHeight="1">
      <c r="A3" s="142"/>
      <c r="B3" s="1287" t="s">
        <v>421</v>
      </c>
      <c r="C3" s="1288"/>
      <c r="D3" s="1289"/>
      <c r="E3" s="50"/>
      <c r="F3" s="196"/>
      <c r="G3" s="50"/>
      <c r="H3" s="50"/>
      <c r="I3" s="50"/>
      <c r="J3" s="50"/>
      <c r="K3" s="50"/>
      <c r="L3" s="50"/>
      <c r="M3" s="50"/>
      <c r="N3" s="50"/>
      <c r="O3" s="50"/>
      <c r="P3" s="50"/>
      <c r="Q3" s="50"/>
      <c r="R3" s="50"/>
      <c r="S3" s="50"/>
      <c r="T3" s="50"/>
      <c r="U3" s="50"/>
      <c r="V3" s="50"/>
      <c r="W3" s="50"/>
      <c r="X3" s="50"/>
      <c r="Y3" s="50"/>
      <c r="Z3" s="50"/>
      <c r="AA3" s="50"/>
    </row>
    <row r="4" spans="1:27" s="142" customFormat="1" ht="27" customHeight="1">
      <c r="B4" s="1238" t="s">
        <v>521</v>
      </c>
      <c r="C4" s="1282"/>
      <c r="D4" s="1283"/>
      <c r="F4" s="50"/>
      <c r="G4" s="50"/>
      <c r="H4" s="50"/>
      <c r="I4" s="50"/>
      <c r="J4" s="50"/>
      <c r="K4" s="50"/>
      <c r="L4" s="50"/>
      <c r="M4" s="50"/>
      <c r="N4" s="50"/>
      <c r="O4" s="50"/>
      <c r="P4" s="50"/>
      <c r="Q4" s="50"/>
      <c r="R4" s="50"/>
      <c r="S4" s="50"/>
      <c r="T4" s="50"/>
      <c r="U4" s="50"/>
      <c r="V4" s="50"/>
      <c r="W4" s="50"/>
      <c r="X4" s="50"/>
      <c r="Y4" s="50"/>
      <c r="Z4" s="50"/>
    </row>
    <row r="5" spans="1:27" s="142" customFormat="1" ht="228.75" customHeight="1">
      <c r="B5" s="1284"/>
      <c r="C5" s="1285"/>
      <c r="D5" s="1286"/>
      <c r="E5" s="50"/>
      <c r="F5" s="50"/>
      <c r="G5" s="50"/>
      <c r="H5" s="50"/>
      <c r="I5" s="50"/>
      <c r="J5" s="50"/>
      <c r="K5" s="50"/>
      <c r="L5" s="50"/>
      <c r="M5" s="50"/>
      <c r="N5" s="50"/>
      <c r="O5" s="50"/>
      <c r="P5" s="50"/>
      <c r="Q5" s="50"/>
      <c r="R5" s="50"/>
      <c r="S5" s="50"/>
      <c r="T5" s="50"/>
      <c r="U5" s="50"/>
      <c r="V5" s="50"/>
      <c r="W5" s="50"/>
      <c r="X5" s="50"/>
      <c r="Y5" s="50"/>
      <c r="Z5" s="50"/>
    </row>
    <row r="6" spans="1:27" s="142" customFormat="1" ht="15.75" customHeight="1">
      <c r="B6" s="637"/>
      <c r="C6" s="636"/>
      <c r="D6" s="635"/>
      <c r="E6" s="50"/>
      <c r="F6" s="50"/>
      <c r="G6" s="50"/>
      <c r="H6" s="50"/>
      <c r="I6" s="50"/>
      <c r="J6" s="50"/>
      <c r="K6" s="50"/>
      <c r="L6" s="50"/>
      <c r="M6" s="50"/>
      <c r="N6" s="50"/>
      <c r="O6" s="50"/>
      <c r="P6" s="50"/>
      <c r="Q6" s="50"/>
      <c r="R6" s="50"/>
      <c r="S6" s="50"/>
      <c r="T6" s="50"/>
      <c r="U6" s="50"/>
      <c r="V6" s="50"/>
      <c r="W6" s="50"/>
      <c r="X6" s="50"/>
      <c r="Y6" s="50"/>
      <c r="Z6" s="50"/>
    </row>
    <row r="7" spans="1:27" s="142" customFormat="1" ht="75.75" customHeight="1">
      <c r="B7" s="1238" t="s">
        <v>554</v>
      </c>
      <c r="C7" s="1282"/>
      <c r="D7" s="1283"/>
      <c r="E7" s="50" t="s">
        <v>426</v>
      </c>
      <c r="F7" s="50"/>
      <c r="G7" s="50"/>
      <c r="H7" s="50"/>
      <c r="I7" s="50"/>
      <c r="J7" s="50"/>
      <c r="K7" s="50"/>
      <c r="L7" s="50"/>
      <c r="M7" s="50"/>
      <c r="N7" s="50"/>
      <c r="O7" s="50"/>
      <c r="P7" s="50"/>
      <c r="Q7" s="50"/>
      <c r="R7" s="50"/>
      <c r="S7" s="50"/>
      <c r="T7" s="50"/>
      <c r="U7" s="50"/>
      <c r="V7" s="50"/>
      <c r="W7" s="50"/>
      <c r="X7" s="50"/>
      <c r="Y7" s="50"/>
      <c r="Z7" s="50"/>
    </row>
    <row r="8" spans="1:27" s="51" customFormat="1">
      <c r="A8" s="142"/>
      <c r="B8" s="634"/>
      <c r="C8" s="634"/>
      <c r="D8" s="634"/>
    </row>
    <row r="9" spans="1:27" s="142" customFormat="1" ht="33.75" customHeight="1">
      <c r="B9" s="1075" t="str">
        <f>CONCATENATE("Fråga 47: Uppskatta antal byggnadsanslutningar i egen [",A83,"] nätinfrastruktur som används i egen regi eller hyrs ut till operatör[",A84,"]. Avser ",'Om detta formulär'!C10,":")</f>
        <v>Fråga 47: Uppskatta antal byggnadsanslutningar i egen [1] nätinfrastruktur som används i egen regi eller hyrs ut till operatör[2]. Avser 31 dec 2019:</v>
      </c>
      <c r="C9" s="1076"/>
      <c r="D9" s="1077"/>
      <c r="E9" s="503" t="s">
        <v>520</v>
      </c>
      <c r="F9" s="50"/>
      <c r="G9" s="50"/>
      <c r="H9" s="50"/>
      <c r="I9" s="50"/>
      <c r="J9" s="50"/>
      <c r="K9" s="50"/>
      <c r="L9" s="50"/>
      <c r="M9" s="50"/>
      <c r="N9" s="50"/>
      <c r="O9" s="50"/>
      <c r="P9" s="50"/>
      <c r="Q9" s="50"/>
      <c r="R9" s="50"/>
      <c r="S9" s="50"/>
      <c r="T9" s="50"/>
      <c r="U9" s="50"/>
      <c r="V9" s="50"/>
      <c r="W9" s="50"/>
      <c r="X9" s="50"/>
      <c r="Y9" s="50"/>
      <c r="Z9" s="50"/>
    </row>
    <row r="10" spans="1:27" s="456" customFormat="1" ht="15" customHeight="1">
      <c r="B10" s="633"/>
      <c r="C10" s="632"/>
      <c r="D10" s="617" t="s">
        <v>20</v>
      </c>
      <c r="E10" s="426"/>
      <c r="F10" s="426"/>
      <c r="G10" s="426"/>
      <c r="H10" s="426"/>
      <c r="I10" s="426"/>
      <c r="J10" s="426"/>
      <c r="K10" s="426"/>
      <c r="L10" s="426"/>
      <c r="M10" s="426"/>
      <c r="N10" s="426"/>
      <c r="O10" s="426"/>
      <c r="P10" s="426"/>
      <c r="Q10" s="426"/>
      <c r="R10" s="426"/>
      <c r="S10" s="426"/>
      <c r="T10" s="426"/>
      <c r="U10" s="426"/>
      <c r="V10" s="426"/>
      <c r="W10" s="426"/>
      <c r="X10" s="426"/>
      <c r="Y10" s="426"/>
      <c r="Z10" s="426"/>
    </row>
    <row r="11" spans="1:27" s="456" customFormat="1" ht="17.100000000000001" customHeight="1">
      <c r="A11" s="618"/>
      <c r="B11" s="1267" t="s">
        <v>278</v>
      </c>
      <c r="C11" s="1268"/>
      <c r="D11" s="622" t="str">
        <f>IF(SUM(D12:D13)=0,"",SUM(D12:D13))</f>
        <v/>
      </c>
      <c r="E11" s="426"/>
      <c r="F11" s="805"/>
      <c r="G11" s="426"/>
      <c r="H11" s="426"/>
      <c r="I11" s="426"/>
      <c r="J11" s="426"/>
      <c r="K11" s="426"/>
      <c r="L11" s="426"/>
      <c r="M11" s="426"/>
      <c r="N11" s="426"/>
      <c r="O11" s="426"/>
      <c r="P11" s="426"/>
      <c r="Q11" s="426"/>
      <c r="R11" s="426"/>
      <c r="S11" s="426"/>
      <c r="T11" s="426"/>
      <c r="U11" s="426"/>
      <c r="V11" s="426"/>
      <c r="W11" s="426"/>
      <c r="X11" s="426"/>
      <c r="Y11" s="426"/>
      <c r="Z11" s="426"/>
    </row>
    <row r="12" spans="1:27" s="456" customFormat="1" ht="17.100000000000001" customHeight="1">
      <c r="A12" s="618"/>
      <c r="B12" s="630" t="s">
        <v>271</v>
      </c>
      <c r="C12" s="631"/>
      <c r="D12" s="610"/>
      <c r="F12" s="426"/>
      <c r="G12" s="426"/>
      <c r="H12" s="426"/>
      <c r="I12" s="426"/>
      <c r="J12" s="426"/>
      <c r="K12" s="426"/>
      <c r="L12" s="426"/>
      <c r="M12" s="426"/>
      <c r="N12" s="426"/>
      <c r="O12" s="426"/>
      <c r="P12" s="426"/>
      <c r="Q12" s="426"/>
      <c r="R12" s="426"/>
      <c r="S12" s="426"/>
      <c r="T12" s="426"/>
      <c r="U12" s="426"/>
      <c r="V12" s="426"/>
      <c r="W12" s="426"/>
      <c r="X12" s="426"/>
      <c r="Y12" s="426"/>
      <c r="Z12" s="426"/>
    </row>
    <row r="13" spans="1:27" s="456" customFormat="1" ht="17.100000000000001" customHeight="1">
      <c r="A13" s="618"/>
      <c r="B13" s="630" t="s">
        <v>131</v>
      </c>
      <c r="C13" s="614"/>
      <c r="D13" s="616"/>
      <c r="F13" s="426"/>
      <c r="G13" s="426"/>
      <c r="H13" s="426"/>
      <c r="I13" s="426"/>
      <c r="J13" s="426"/>
      <c r="K13" s="426"/>
      <c r="L13" s="426"/>
      <c r="M13" s="426"/>
      <c r="N13" s="426"/>
      <c r="O13" s="426"/>
      <c r="P13" s="426"/>
      <c r="Q13" s="426"/>
      <c r="R13" s="426"/>
      <c r="S13" s="426"/>
      <c r="T13" s="426"/>
      <c r="U13" s="426"/>
      <c r="V13" s="426"/>
      <c r="W13" s="426"/>
      <c r="X13" s="426"/>
      <c r="Y13" s="426"/>
      <c r="Z13" s="426"/>
    </row>
    <row r="14" spans="1:27" s="456" customFormat="1" ht="17.100000000000001" customHeight="1">
      <c r="A14" s="618"/>
      <c r="B14" s="1140" t="s">
        <v>522</v>
      </c>
      <c r="C14" s="1141"/>
      <c r="D14" s="811"/>
      <c r="E14" s="456" t="s">
        <v>468</v>
      </c>
      <c r="F14" s="426"/>
      <c r="G14" s="50"/>
      <c r="H14" s="50"/>
      <c r="I14" s="426"/>
      <c r="J14" s="426"/>
      <c r="K14" s="426"/>
      <c r="L14" s="426"/>
      <c r="M14" s="426"/>
      <c r="N14" s="426"/>
      <c r="O14" s="426"/>
      <c r="P14" s="426"/>
      <c r="Q14" s="426"/>
      <c r="R14" s="426"/>
      <c r="S14" s="426"/>
      <c r="T14" s="426"/>
      <c r="U14" s="426"/>
      <c r="V14" s="426"/>
      <c r="W14" s="426"/>
      <c r="X14" s="426"/>
      <c r="Y14" s="426"/>
      <c r="Z14" s="426"/>
    </row>
    <row r="15" spans="1:27" s="456" customFormat="1" ht="17.100000000000001" customHeight="1">
      <c r="A15" s="618"/>
      <c r="B15" s="624" t="s">
        <v>92</v>
      </c>
      <c r="C15" s="623"/>
      <c r="D15" s="622" t="str">
        <f>IF(SUM(D16:D17)=0,"",SUM(D16:D17))</f>
        <v/>
      </c>
      <c r="E15" s="805"/>
      <c r="F15" s="426"/>
      <c r="G15" s="426"/>
      <c r="H15" s="426"/>
      <c r="I15" s="426"/>
      <c r="J15" s="426"/>
      <c r="K15" s="426"/>
      <c r="L15" s="426"/>
      <c r="M15" s="426"/>
      <c r="N15" s="426"/>
      <c r="O15" s="426"/>
      <c r="P15" s="426"/>
      <c r="Q15" s="426"/>
      <c r="R15" s="426"/>
      <c r="S15" s="426"/>
      <c r="T15" s="426"/>
      <c r="U15" s="426"/>
      <c r="V15" s="426"/>
      <c r="W15" s="426"/>
      <c r="X15" s="426"/>
      <c r="Y15" s="426"/>
      <c r="Z15" s="426"/>
    </row>
    <row r="16" spans="1:27" s="456" customFormat="1" ht="17.100000000000001" customHeight="1">
      <c r="A16" s="618"/>
      <c r="B16" s="630" t="s">
        <v>271</v>
      </c>
      <c r="C16" s="614"/>
      <c r="D16" s="610"/>
      <c r="E16" s="426"/>
      <c r="F16" s="426"/>
      <c r="G16" s="426"/>
      <c r="H16" s="426"/>
      <c r="I16" s="426"/>
      <c r="J16" s="426"/>
      <c r="K16" s="426"/>
      <c r="L16" s="426"/>
      <c r="M16" s="426"/>
      <c r="N16" s="426"/>
      <c r="O16" s="426"/>
      <c r="P16" s="426"/>
      <c r="Q16" s="426"/>
      <c r="R16" s="426"/>
      <c r="S16" s="426"/>
      <c r="T16" s="426"/>
      <c r="U16" s="426"/>
      <c r="V16" s="426"/>
      <c r="W16" s="426"/>
      <c r="X16" s="426"/>
      <c r="Y16" s="426"/>
      <c r="Z16" s="426"/>
    </row>
    <row r="17" spans="1:26" s="456" customFormat="1" ht="17.100000000000001" customHeight="1">
      <c r="A17" s="618"/>
      <c r="B17" s="630" t="s">
        <v>131</v>
      </c>
      <c r="C17" s="614"/>
      <c r="D17" s="616"/>
      <c r="E17" s="426"/>
      <c r="F17" s="426"/>
      <c r="G17" s="426"/>
      <c r="H17" s="426"/>
      <c r="I17" s="426"/>
      <c r="J17" s="426"/>
      <c r="K17" s="426"/>
      <c r="L17" s="426"/>
      <c r="M17" s="426"/>
      <c r="N17" s="426"/>
      <c r="O17" s="426"/>
      <c r="P17" s="426"/>
      <c r="Q17" s="426"/>
      <c r="R17" s="426"/>
      <c r="S17" s="426"/>
      <c r="T17" s="426"/>
      <c r="U17" s="426"/>
      <c r="V17" s="426"/>
      <c r="W17" s="426"/>
      <c r="X17" s="426"/>
      <c r="Y17" s="426"/>
      <c r="Z17" s="426"/>
    </row>
    <row r="18" spans="1:26" s="456" customFormat="1" ht="17.100000000000001" customHeight="1">
      <c r="A18" s="618"/>
      <c r="B18" s="624" t="s">
        <v>93</v>
      </c>
      <c r="C18" s="623"/>
      <c r="D18" s="622" t="str">
        <f>IF(SUM(D19:D20)=0,"",SUM(D19:D20))</f>
        <v/>
      </c>
      <c r="E18" s="426"/>
      <c r="F18" s="426"/>
      <c r="G18" s="426"/>
      <c r="H18" s="426"/>
      <c r="I18" s="426"/>
      <c r="J18" s="426"/>
      <c r="K18" s="426"/>
      <c r="L18" s="426"/>
      <c r="M18" s="426"/>
      <c r="N18" s="426"/>
      <c r="O18" s="426"/>
      <c r="P18" s="426"/>
      <c r="Q18" s="426"/>
      <c r="R18" s="426"/>
      <c r="S18" s="426"/>
      <c r="T18" s="426"/>
      <c r="U18" s="426"/>
      <c r="V18" s="426"/>
      <c r="W18" s="426"/>
      <c r="X18" s="426"/>
      <c r="Y18" s="426"/>
      <c r="Z18" s="426"/>
    </row>
    <row r="19" spans="1:26" s="456" customFormat="1" ht="17.100000000000001" customHeight="1">
      <c r="A19" s="618"/>
      <c r="B19" s="630" t="s">
        <v>271</v>
      </c>
      <c r="C19" s="614"/>
      <c r="D19" s="610"/>
      <c r="E19" s="426"/>
      <c r="F19" s="426"/>
      <c r="G19" s="426"/>
      <c r="H19" s="426"/>
      <c r="I19" s="426"/>
      <c r="J19" s="426"/>
      <c r="K19" s="426"/>
      <c r="L19" s="426"/>
      <c r="M19" s="426"/>
      <c r="N19" s="426"/>
      <c r="O19" s="426"/>
      <c r="P19" s="426"/>
      <c r="Q19" s="426"/>
      <c r="R19" s="426"/>
      <c r="S19" s="426"/>
      <c r="T19" s="426"/>
      <c r="U19" s="426"/>
      <c r="V19" s="426"/>
      <c r="W19" s="426"/>
      <c r="X19" s="426"/>
      <c r="Y19" s="426"/>
      <c r="Z19" s="426"/>
    </row>
    <row r="20" spans="1:26" s="456" customFormat="1" ht="17.100000000000001" customHeight="1">
      <c r="A20" s="618"/>
      <c r="B20" s="630" t="s">
        <v>131</v>
      </c>
      <c r="C20" s="614"/>
      <c r="D20" s="616"/>
      <c r="E20" s="426"/>
      <c r="F20" s="426"/>
      <c r="G20" s="426"/>
      <c r="H20" s="426"/>
      <c r="I20" s="426"/>
      <c r="J20" s="426"/>
      <c r="K20" s="426"/>
      <c r="L20" s="426"/>
      <c r="M20" s="426"/>
      <c r="N20" s="426"/>
      <c r="O20" s="426"/>
      <c r="P20" s="426"/>
      <c r="Q20" s="426"/>
      <c r="R20" s="426"/>
      <c r="S20" s="426"/>
      <c r="T20" s="426"/>
      <c r="U20" s="426"/>
      <c r="V20" s="426"/>
      <c r="W20" s="426"/>
      <c r="X20" s="426"/>
      <c r="Y20" s="426"/>
      <c r="Z20" s="426"/>
    </row>
    <row r="21" spans="1:26" s="456" customFormat="1" ht="17.100000000000001" customHeight="1">
      <c r="A21" s="618"/>
      <c r="B21" s="624" t="s">
        <v>179</v>
      </c>
      <c r="C21" s="623"/>
      <c r="D21" s="622" t="str">
        <f>IF(SUM(D22:D23)=0,"",SUM(D22:D23))</f>
        <v/>
      </c>
      <c r="E21" s="426"/>
      <c r="F21" s="426"/>
      <c r="G21" s="426"/>
      <c r="H21" s="426"/>
      <c r="I21" s="426"/>
      <c r="J21" s="426"/>
      <c r="K21" s="426"/>
      <c r="L21" s="426"/>
      <c r="M21" s="426"/>
      <c r="N21" s="426"/>
      <c r="O21" s="426"/>
      <c r="P21" s="426"/>
      <c r="Q21" s="426"/>
      <c r="R21" s="426"/>
      <c r="S21" s="426"/>
      <c r="T21" s="426"/>
      <c r="U21" s="426"/>
      <c r="V21" s="426"/>
      <c r="W21" s="426"/>
      <c r="X21" s="426"/>
      <c r="Y21" s="426"/>
      <c r="Z21" s="426"/>
    </row>
    <row r="22" spans="1:26" s="456" customFormat="1" ht="17.100000000000001" customHeight="1">
      <c r="A22" s="618"/>
      <c r="B22" s="630" t="s">
        <v>271</v>
      </c>
      <c r="C22" s="614"/>
      <c r="D22" s="610"/>
      <c r="E22" s="426"/>
      <c r="F22" s="426"/>
      <c r="G22" s="426"/>
      <c r="H22" s="426"/>
      <c r="I22" s="426"/>
      <c r="J22" s="426"/>
      <c r="K22" s="426"/>
      <c r="L22" s="426"/>
      <c r="M22" s="426"/>
      <c r="N22" s="426"/>
      <c r="O22" s="426"/>
      <c r="P22" s="426"/>
      <c r="Q22" s="426"/>
      <c r="R22" s="426"/>
      <c r="S22" s="426"/>
      <c r="T22" s="426"/>
      <c r="U22" s="426"/>
      <c r="V22" s="426"/>
      <c r="W22" s="426"/>
      <c r="X22" s="426"/>
      <c r="Y22" s="426"/>
      <c r="Z22" s="426"/>
    </row>
    <row r="23" spans="1:26" s="456" customFormat="1" ht="17.100000000000001" customHeight="1" thickBot="1">
      <c r="A23" s="618"/>
      <c r="B23" s="630" t="s">
        <v>131</v>
      </c>
      <c r="C23" s="614"/>
      <c r="D23" s="629"/>
      <c r="E23" s="426"/>
      <c r="F23" s="426"/>
      <c r="G23" s="426"/>
      <c r="H23" s="426"/>
      <c r="I23" s="426"/>
      <c r="J23" s="426"/>
      <c r="K23" s="426"/>
      <c r="L23" s="426"/>
      <c r="M23" s="426"/>
      <c r="N23" s="426"/>
      <c r="O23" s="426"/>
      <c r="P23" s="426"/>
      <c r="Q23" s="426"/>
      <c r="R23" s="426"/>
      <c r="S23" s="426"/>
      <c r="T23" s="426"/>
      <c r="U23" s="426"/>
      <c r="V23" s="426"/>
      <c r="W23" s="426"/>
      <c r="X23" s="426"/>
      <c r="Y23" s="426"/>
      <c r="Z23" s="426"/>
    </row>
    <row r="24" spans="1:26" s="456" customFormat="1" ht="25.5" customHeight="1" thickTop="1">
      <c r="A24" s="618"/>
      <c r="B24" s="1272" t="s">
        <v>270</v>
      </c>
      <c r="C24" s="1273"/>
      <c r="D24" s="607" t="str">
        <f>IF(SUM(D11,D18,D21)=0," ",SUM(D11,D15,D18,D21))</f>
        <v xml:space="preserve"> </v>
      </c>
      <c r="E24" s="426"/>
      <c r="F24" s="426"/>
      <c r="G24" s="426"/>
      <c r="H24" s="426"/>
      <c r="I24" s="426"/>
      <c r="J24" s="426"/>
      <c r="K24" s="426"/>
      <c r="L24" s="426"/>
      <c r="M24" s="426"/>
      <c r="N24" s="426"/>
      <c r="O24" s="426"/>
      <c r="P24" s="426"/>
      <c r="Q24" s="426"/>
      <c r="R24" s="426"/>
      <c r="S24" s="426"/>
      <c r="T24" s="426"/>
      <c r="U24" s="426"/>
      <c r="V24" s="426"/>
      <c r="W24" s="426"/>
      <c r="X24" s="426"/>
      <c r="Y24" s="426"/>
      <c r="Z24" s="426"/>
    </row>
    <row r="25" spans="1:26" s="456" customFormat="1" ht="15" customHeight="1">
      <c r="A25" s="618"/>
      <c r="B25" s="1297" t="s">
        <v>50</v>
      </c>
      <c r="C25" s="1298"/>
      <c r="D25" s="1299"/>
      <c r="E25" s="426"/>
      <c r="F25" s="426"/>
      <c r="G25" s="426"/>
      <c r="H25" s="426"/>
      <c r="I25" s="426"/>
      <c r="J25" s="426"/>
      <c r="K25" s="426"/>
      <c r="L25" s="426"/>
      <c r="M25" s="426"/>
      <c r="N25" s="426"/>
      <c r="O25" s="426"/>
      <c r="P25" s="426"/>
      <c r="Q25" s="426"/>
      <c r="R25" s="426"/>
      <c r="S25" s="426"/>
      <c r="T25" s="426"/>
      <c r="U25" s="426"/>
      <c r="V25" s="426"/>
      <c r="W25" s="426"/>
      <c r="X25" s="426"/>
      <c r="Y25" s="426"/>
      <c r="Z25" s="426"/>
    </row>
    <row r="26" spans="1:26" s="456" customFormat="1" ht="31.35" customHeight="1">
      <c r="A26" s="618"/>
      <c r="B26" s="1300"/>
      <c r="C26" s="1301"/>
      <c r="D26" s="1302"/>
      <c r="E26" s="426"/>
      <c r="F26" s="426"/>
      <c r="G26" s="426"/>
      <c r="H26" s="426"/>
      <c r="I26" s="426"/>
      <c r="J26" s="426"/>
      <c r="K26" s="426"/>
      <c r="L26" s="426"/>
      <c r="M26" s="426"/>
      <c r="N26" s="426"/>
      <c r="O26" s="426"/>
      <c r="P26" s="426"/>
      <c r="Q26" s="426"/>
      <c r="R26" s="426"/>
      <c r="S26" s="426"/>
      <c r="T26" s="426"/>
      <c r="U26" s="426"/>
      <c r="V26" s="426"/>
      <c r="W26" s="426"/>
      <c r="X26" s="426"/>
      <c r="Y26" s="426"/>
      <c r="Z26" s="426"/>
    </row>
    <row r="27" spans="1:26" s="51" customFormat="1" ht="24.75" customHeight="1">
      <c r="A27" s="142"/>
      <c r="B27" s="1274" t="s">
        <v>264</v>
      </c>
      <c r="C27" s="1275"/>
      <c r="D27" s="1276"/>
    </row>
    <row r="28" spans="1:26" s="627" customFormat="1" ht="23.25" customHeight="1">
      <c r="B28" s="1269" t="s">
        <v>523</v>
      </c>
      <c r="C28" s="1270"/>
      <c r="D28" s="1271"/>
      <c r="E28" s="628"/>
      <c r="F28" s="628"/>
      <c r="G28" s="628"/>
      <c r="H28" s="628"/>
      <c r="I28" s="628"/>
      <c r="J28" s="628"/>
      <c r="K28" s="628"/>
      <c r="L28" s="628"/>
      <c r="M28" s="628"/>
      <c r="N28" s="628"/>
      <c r="O28" s="628"/>
      <c r="P28" s="628"/>
      <c r="Q28" s="628"/>
      <c r="R28" s="628"/>
      <c r="S28" s="628"/>
      <c r="T28" s="628"/>
      <c r="U28" s="628"/>
      <c r="V28" s="628"/>
      <c r="W28" s="628"/>
      <c r="X28" s="628"/>
      <c r="Y28" s="628"/>
      <c r="Z28" s="628"/>
    </row>
    <row r="29" spans="1:26" s="627" customFormat="1" ht="23.25" customHeight="1">
      <c r="B29" s="1309"/>
      <c r="C29" s="1310"/>
      <c r="D29" s="1311"/>
      <c r="E29" s="628"/>
      <c r="F29" s="628"/>
      <c r="G29" s="628"/>
      <c r="H29" s="628"/>
      <c r="I29" s="628"/>
      <c r="J29" s="628"/>
      <c r="K29" s="628"/>
      <c r="L29" s="628"/>
      <c r="M29" s="628"/>
      <c r="N29" s="628"/>
      <c r="O29" s="628"/>
      <c r="P29" s="628"/>
      <c r="Q29" s="628"/>
      <c r="R29" s="628"/>
      <c r="S29" s="628"/>
      <c r="T29" s="628"/>
      <c r="U29" s="628"/>
      <c r="V29" s="628"/>
      <c r="W29" s="628"/>
      <c r="X29" s="628"/>
      <c r="Y29" s="628"/>
      <c r="Z29" s="628"/>
    </row>
    <row r="30" spans="1:26" s="627" customFormat="1" ht="23.25" customHeight="1">
      <c r="B30" s="1307"/>
      <c r="C30" s="1312"/>
      <c r="D30" s="1308"/>
      <c r="E30" s="628"/>
      <c r="F30" s="628"/>
      <c r="G30" s="628"/>
      <c r="H30" s="628"/>
      <c r="I30" s="628"/>
      <c r="J30" s="628"/>
      <c r="K30" s="628"/>
      <c r="L30" s="628"/>
      <c r="M30" s="628"/>
      <c r="N30" s="628"/>
      <c r="O30" s="628"/>
      <c r="P30" s="628"/>
      <c r="Q30" s="628"/>
      <c r="R30" s="628"/>
      <c r="S30" s="628"/>
      <c r="T30" s="628"/>
      <c r="U30" s="628"/>
      <c r="V30" s="628"/>
      <c r="W30" s="628"/>
      <c r="X30" s="628"/>
      <c r="Y30" s="628"/>
      <c r="Z30" s="628"/>
    </row>
    <row r="31" spans="1:26" s="627" customFormat="1" ht="23.25" customHeight="1">
      <c r="B31" s="1307"/>
      <c r="C31" s="1312"/>
      <c r="D31" s="1308"/>
      <c r="E31" s="628"/>
      <c r="F31" s="628"/>
      <c r="G31" s="628"/>
      <c r="H31" s="628"/>
      <c r="I31" s="628"/>
      <c r="J31" s="628"/>
      <c r="K31" s="628"/>
      <c r="L31" s="628"/>
      <c r="M31" s="628"/>
      <c r="N31" s="628"/>
      <c r="O31" s="628"/>
      <c r="P31" s="628"/>
      <c r="Q31" s="628"/>
      <c r="R31" s="628"/>
      <c r="S31" s="628"/>
      <c r="T31" s="628"/>
      <c r="U31" s="628"/>
      <c r="V31" s="628"/>
      <c r="W31" s="628"/>
      <c r="X31" s="628"/>
      <c r="Y31" s="628"/>
      <c r="Z31" s="628"/>
    </row>
    <row r="32" spans="1:26" s="627" customFormat="1" ht="23.25" customHeight="1">
      <c r="B32" s="1307"/>
      <c r="C32" s="1308"/>
      <c r="D32" s="1308"/>
      <c r="E32" s="628"/>
      <c r="F32" s="628"/>
      <c r="G32" s="628"/>
      <c r="H32" s="628"/>
      <c r="I32" s="628"/>
      <c r="J32" s="628"/>
      <c r="K32" s="628"/>
      <c r="L32" s="628"/>
      <c r="M32" s="628"/>
      <c r="N32" s="628"/>
      <c r="O32" s="628"/>
      <c r="P32" s="628"/>
      <c r="Q32" s="628"/>
      <c r="R32" s="628"/>
      <c r="S32" s="628"/>
      <c r="T32" s="628"/>
      <c r="U32" s="628"/>
      <c r="V32" s="628"/>
      <c r="W32" s="628"/>
      <c r="X32" s="628"/>
      <c r="Y32" s="628"/>
      <c r="Z32" s="628"/>
    </row>
    <row r="33" spans="1:26" s="627" customFormat="1" ht="23.25" customHeight="1">
      <c r="B33" s="1307"/>
      <c r="C33" s="1308"/>
      <c r="D33" s="1308"/>
      <c r="E33" s="628"/>
      <c r="F33" s="628"/>
      <c r="G33" s="628"/>
      <c r="H33" s="628"/>
      <c r="I33" s="628"/>
      <c r="J33" s="628"/>
      <c r="K33" s="628"/>
      <c r="L33" s="628"/>
      <c r="M33" s="628"/>
      <c r="N33" s="628"/>
      <c r="O33" s="628"/>
      <c r="P33" s="628"/>
      <c r="Q33" s="628"/>
      <c r="R33" s="628"/>
      <c r="S33" s="628"/>
      <c r="T33" s="628"/>
      <c r="U33" s="628"/>
      <c r="V33" s="628"/>
      <c r="W33" s="628"/>
      <c r="X33" s="628"/>
      <c r="Y33" s="628"/>
      <c r="Z33" s="628"/>
    </row>
    <row r="34" spans="1:26" s="627" customFormat="1" ht="23.25" customHeight="1">
      <c r="B34" s="1307"/>
      <c r="C34" s="1308"/>
      <c r="D34" s="1308"/>
      <c r="E34" s="628"/>
      <c r="F34" s="628"/>
      <c r="G34" s="628"/>
      <c r="H34" s="628"/>
      <c r="I34" s="628"/>
      <c r="J34" s="628"/>
      <c r="K34" s="628"/>
      <c r="L34" s="628"/>
      <c r="M34" s="628"/>
      <c r="N34" s="628"/>
      <c r="O34" s="628"/>
      <c r="P34" s="628"/>
      <c r="Q34" s="628"/>
      <c r="R34" s="628"/>
      <c r="S34" s="628"/>
      <c r="T34" s="628"/>
      <c r="U34" s="628"/>
      <c r="V34" s="628"/>
      <c r="W34" s="628"/>
      <c r="X34" s="628"/>
      <c r="Y34" s="628"/>
      <c r="Z34" s="628"/>
    </row>
    <row r="35" spans="1:26" s="627" customFormat="1" ht="23.25" customHeight="1">
      <c r="B35" s="1307"/>
      <c r="C35" s="1308"/>
      <c r="D35" s="1308"/>
      <c r="E35" s="628"/>
      <c r="F35" s="628"/>
      <c r="G35" s="628"/>
      <c r="H35" s="628"/>
      <c r="I35" s="628"/>
      <c r="J35" s="628"/>
      <c r="K35" s="628"/>
      <c r="L35" s="628"/>
      <c r="M35" s="628"/>
      <c r="N35" s="628"/>
      <c r="O35" s="628"/>
      <c r="P35" s="628"/>
      <c r="Q35" s="628"/>
      <c r="R35" s="628"/>
      <c r="S35" s="628"/>
      <c r="T35" s="628"/>
      <c r="U35" s="628"/>
      <c r="V35" s="628"/>
      <c r="W35" s="628"/>
      <c r="X35" s="628"/>
      <c r="Y35" s="628"/>
      <c r="Z35" s="628"/>
    </row>
    <row r="36" spans="1:26" s="51" customFormat="1" ht="78" customHeight="1">
      <c r="A36" s="142"/>
      <c r="B36" s="1307"/>
      <c r="C36" s="1308"/>
      <c r="D36" s="1308"/>
    </row>
    <row r="37" spans="1:26" s="142" customFormat="1" ht="75" customHeight="1">
      <c r="B37" s="1290" t="s">
        <v>538</v>
      </c>
      <c r="C37" s="1291"/>
      <c r="D37" s="1291"/>
      <c r="E37" s="50" t="s">
        <v>426</v>
      </c>
      <c r="F37" s="50"/>
      <c r="G37" s="50"/>
      <c r="H37" s="50"/>
      <c r="I37" s="50"/>
      <c r="J37" s="50"/>
      <c r="K37" s="50"/>
      <c r="L37" s="50"/>
      <c r="M37" s="50"/>
      <c r="N37" s="50"/>
      <c r="O37" s="50"/>
      <c r="P37" s="50"/>
      <c r="Q37" s="50"/>
      <c r="R37" s="50"/>
      <c r="S37" s="50"/>
      <c r="T37" s="50"/>
      <c r="U37" s="50"/>
      <c r="V37" s="50"/>
      <c r="W37" s="50"/>
      <c r="X37" s="50"/>
      <c r="Y37" s="50"/>
      <c r="Z37" s="50"/>
    </row>
    <row r="38" spans="1:26" s="51" customFormat="1" ht="51.75" customHeight="1">
      <c r="A38" s="142"/>
      <c r="B38" s="1075" t="str">
        <f>CONCATENATE("Fråga 48: Ange hur många lägenheter som ni når via era byggnadsanslutningar (som ni angett på föregående fråga) och hur många av dessa som ni hyr ut till operatör[",A85,"]respektive slutkund [",A86,"] den ",'Om detta formulär'!C10,":")</f>
        <v>Fråga 48: Ange hur många lägenheter som ni når via era byggnadsanslutningar (som ni angett på föregående fråga) och hur många av dessa som ni hyr ut till operatör[3]respektive slutkund [4] den 31 dec 2019:</v>
      </c>
      <c r="C38" s="1077"/>
      <c r="D38" s="1077"/>
      <c r="E38" s="503" t="s">
        <v>524</v>
      </c>
    </row>
    <row r="39" spans="1:26" s="142" customFormat="1" ht="13.5" customHeight="1">
      <c r="B39" s="1277"/>
      <c r="C39" s="1185"/>
      <c r="D39" s="385" t="s">
        <v>20</v>
      </c>
      <c r="F39" s="50"/>
      <c r="G39" s="50"/>
      <c r="H39" s="50"/>
      <c r="I39" s="50"/>
      <c r="J39" s="50"/>
      <c r="K39" s="50"/>
      <c r="L39" s="50"/>
      <c r="M39" s="50"/>
      <c r="N39" s="50"/>
      <c r="O39" s="50"/>
      <c r="P39" s="50"/>
      <c r="Q39" s="50"/>
      <c r="R39" s="50"/>
      <c r="S39" s="50"/>
      <c r="T39" s="50"/>
      <c r="U39" s="50"/>
      <c r="V39" s="50"/>
      <c r="W39" s="50"/>
      <c r="X39" s="50"/>
      <c r="Y39" s="50"/>
      <c r="Z39" s="50"/>
    </row>
    <row r="40" spans="1:26" s="142" customFormat="1" ht="17.100000000000001" customHeight="1">
      <c r="B40" s="1267" t="s">
        <v>278</v>
      </c>
      <c r="C40" s="1268"/>
      <c r="D40" s="622" t="str">
        <f>IF(SUM(D41+D42+D43)=0," ",SUM(D41+D42+D43))</f>
        <v xml:space="preserve"> </v>
      </c>
      <c r="E40" s="50"/>
      <c r="F40" s="50"/>
      <c r="G40" s="50"/>
      <c r="H40" s="50"/>
      <c r="I40" s="50"/>
      <c r="J40" s="50"/>
      <c r="K40" s="50"/>
      <c r="L40" s="50"/>
      <c r="M40" s="50"/>
      <c r="N40" s="50"/>
      <c r="O40" s="50"/>
      <c r="P40" s="50"/>
      <c r="Q40" s="50"/>
      <c r="R40" s="50"/>
      <c r="S40" s="50"/>
      <c r="T40" s="50"/>
      <c r="U40" s="50"/>
      <c r="V40" s="50"/>
      <c r="W40" s="50"/>
      <c r="X40" s="50"/>
      <c r="Y40" s="50"/>
      <c r="Z40" s="50"/>
    </row>
    <row r="41" spans="1:26" s="142" customFormat="1" ht="17.100000000000001" customHeight="1">
      <c r="B41" s="1295" t="s">
        <v>279</v>
      </c>
      <c r="C41" s="1296"/>
      <c r="D41" s="621"/>
      <c r="E41" s="50"/>
      <c r="F41" s="50"/>
      <c r="G41" s="50"/>
      <c r="H41" s="50"/>
      <c r="I41" s="50"/>
      <c r="J41" s="50"/>
      <c r="K41" s="50"/>
      <c r="L41" s="50"/>
      <c r="M41" s="50"/>
      <c r="N41" s="50"/>
      <c r="O41" s="50"/>
      <c r="P41" s="50"/>
      <c r="Q41" s="50"/>
      <c r="R41" s="50"/>
      <c r="S41" s="50"/>
      <c r="T41" s="50"/>
      <c r="U41" s="50"/>
      <c r="V41" s="50"/>
      <c r="W41" s="50"/>
      <c r="X41" s="50"/>
      <c r="Y41" s="50"/>
      <c r="Z41" s="50"/>
    </row>
    <row r="42" spans="1:26" s="142" customFormat="1" ht="17.100000000000001" customHeight="1">
      <c r="B42" s="1295" t="s">
        <v>280</v>
      </c>
      <c r="C42" s="1296"/>
      <c r="D42" s="621"/>
      <c r="E42" s="50"/>
      <c r="F42" s="50"/>
      <c r="G42" s="50"/>
      <c r="H42" s="50"/>
      <c r="I42" s="50"/>
      <c r="J42" s="50"/>
      <c r="K42" s="50"/>
      <c r="L42" s="50"/>
      <c r="M42" s="50"/>
      <c r="N42" s="50"/>
      <c r="O42" s="50"/>
      <c r="P42" s="50"/>
      <c r="Q42" s="50"/>
      <c r="R42" s="50"/>
      <c r="S42" s="50"/>
      <c r="T42" s="50"/>
      <c r="U42" s="50"/>
      <c r="V42" s="50"/>
      <c r="W42" s="50"/>
      <c r="X42" s="50"/>
      <c r="Y42" s="50"/>
      <c r="Z42" s="50"/>
    </row>
    <row r="43" spans="1:26" s="142" customFormat="1" ht="18.75" customHeight="1">
      <c r="B43" s="1293" t="s">
        <v>281</v>
      </c>
      <c r="C43" s="1294"/>
      <c r="D43" s="625"/>
      <c r="E43" s="50"/>
      <c r="F43" s="50"/>
      <c r="G43" s="50"/>
      <c r="H43" s="50"/>
      <c r="I43" s="50"/>
      <c r="J43" s="50"/>
      <c r="K43" s="50"/>
      <c r="L43" s="50"/>
      <c r="M43" s="50"/>
      <c r="N43" s="50"/>
      <c r="O43" s="50"/>
      <c r="P43" s="50"/>
      <c r="Q43" s="50"/>
      <c r="R43" s="50"/>
      <c r="S43" s="50"/>
      <c r="T43" s="50"/>
      <c r="U43" s="50"/>
      <c r="V43" s="50"/>
      <c r="W43" s="50"/>
      <c r="X43" s="50"/>
      <c r="Y43" s="50"/>
      <c r="Z43" s="50"/>
    </row>
    <row r="44" spans="1:26" s="142" customFormat="1" ht="17.100000000000001" customHeight="1">
      <c r="B44" s="921" t="s">
        <v>468</v>
      </c>
      <c r="C44" s="626"/>
      <c r="D44" s="810"/>
      <c r="E44" s="50"/>
      <c r="F44" s="50"/>
      <c r="G44" s="50"/>
      <c r="H44" s="50"/>
      <c r="I44" s="50"/>
      <c r="J44" s="50"/>
      <c r="K44" s="50"/>
      <c r="L44" s="50"/>
      <c r="M44" s="50"/>
      <c r="N44" s="50"/>
      <c r="O44" s="50"/>
      <c r="P44" s="50"/>
      <c r="Q44" s="50"/>
      <c r="R44" s="50"/>
      <c r="S44" s="50"/>
      <c r="T44" s="50"/>
      <c r="U44" s="50"/>
      <c r="V44" s="50"/>
      <c r="W44" s="50"/>
      <c r="X44" s="50"/>
      <c r="Y44" s="50"/>
      <c r="Z44" s="50"/>
    </row>
    <row r="45" spans="1:26" s="142" customFormat="1" ht="17.100000000000001" customHeight="1">
      <c r="B45" s="624" t="s">
        <v>92</v>
      </c>
      <c r="C45" s="623"/>
      <c r="D45" s="622" t="str">
        <f>IF(SUM(D46+D47+D48)=0," ",SUM(D46+D47+D48))</f>
        <v xml:space="preserve"> </v>
      </c>
      <c r="E45" s="50"/>
      <c r="F45" s="50"/>
      <c r="G45" s="50"/>
      <c r="H45" s="50"/>
      <c r="I45" s="50"/>
      <c r="J45" s="50"/>
      <c r="K45" s="50"/>
      <c r="L45" s="50"/>
      <c r="M45" s="50"/>
      <c r="N45" s="50"/>
      <c r="O45" s="50"/>
      <c r="P45" s="50"/>
      <c r="Q45" s="50"/>
      <c r="R45" s="50"/>
      <c r="S45" s="50"/>
      <c r="T45" s="50"/>
      <c r="U45" s="50"/>
      <c r="V45" s="50"/>
      <c r="W45" s="50"/>
      <c r="X45" s="50"/>
      <c r="Y45" s="50"/>
      <c r="Z45" s="50"/>
    </row>
    <row r="46" spans="1:26" s="142" customFormat="1" ht="17.100000000000001" customHeight="1">
      <c r="B46" s="1295" t="s">
        <v>279</v>
      </c>
      <c r="C46" s="1296"/>
      <c r="D46" s="621"/>
      <c r="E46" s="50"/>
      <c r="F46" s="50"/>
      <c r="G46" s="50"/>
      <c r="H46" s="50"/>
      <c r="I46" s="50"/>
      <c r="J46" s="50"/>
      <c r="K46" s="50"/>
      <c r="L46" s="50"/>
      <c r="M46" s="50"/>
      <c r="N46" s="50"/>
      <c r="O46" s="50"/>
      <c r="P46" s="50"/>
      <c r="Q46" s="50"/>
      <c r="R46" s="50"/>
      <c r="S46" s="50"/>
      <c r="T46" s="50"/>
      <c r="U46" s="50"/>
      <c r="V46" s="50"/>
      <c r="W46" s="50"/>
      <c r="X46" s="50"/>
      <c r="Y46" s="50"/>
      <c r="Z46" s="50"/>
    </row>
    <row r="47" spans="1:26" s="142" customFormat="1" ht="17.100000000000001" customHeight="1">
      <c r="B47" s="1295" t="s">
        <v>282</v>
      </c>
      <c r="C47" s="1296"/>
      <c r="D47" s="621"/>
      <c r="E47" s="50"/>
      <c r="F47" s="50"/>
      <c r="G47" s="50"/>
      <c r="H47" s="50"/>
      <c r="I47" s="50"/>
      <c r="J47" s="50"/>
      <c r="K47" s="50"/>
      <c r="L47" s="50"/>
      <c r="M47" s="50"/>
      <c r="N47" s="50"/>
      <c r="O47" s="50"/>
      <c r="P47" s="50"/>
      <c r="Q47" s="50"/>
      <c r="R47" s="50"/>
      <c r="S47" s="50"/>
      <c r="T47" s="50"/>
      <c r="U47" s="50"/>
      <c r="V47" s="50"/>
      <c r="W47" s="50"/>
      <c r="X47" s="50"/>
      <c r="Y47" s="50"/>
      <c r="Z47" s="50"/>
    </row>
    <row r="48" spans="1:26" s="142" customFormat="1" ht="17.100000000000001" customHeight="1">
      <c r="B48" s="1293" t="s">
        <v>281</v>
      </c>
      <c r="C48" s="1294"/>
      <c r="D48" s="625"/>
      <c r="E48" s="50"/>
      <c r="F48" s="50"/>
      <c r="G48" s="50"/>
      <c r="H48" s="50"/>
      <c r="I48" s="50"/>
      <c r="J48" s="50"/>
      <c r="K48" s="50"/>
      <c r="L48" s="50"/>
      <c r="M48" s="50"/>
      <c r="N48" s="50"/>
      <c r="O48" s="50"/>
      <c r="P48" s="50"/>
      <c r="Q48" s="50"/>
      <c r="R48" s="50"/>
      <c r="S48" s="50"/>
      <c r="T48" s="50"/>
      <c r="U48" s="50"/>
      <c r="V48" s="50"/>
      <c r="W48" s="50"/>
      <c r="X48" s="50"/>
      <c r="Y48" s="50"/>
      <c r="Z48" s="50"/>
    </row>
    <row r="49" spans="1:26" s="142" customFormat="1" ht="17.100000000000001" customHeight="1">
      <c r="B49" s="624" t="s">
        <v>93</v>
      </c>
      <c r="C49" s="623"/>
      <c r="D49" s="622" t="str">
        <f>IF(SUM(D50+D51+D52)=0," ",SUM(D50+D51+D52))</f>
        <v xml:space="preserve"> </v>
      </c>
      <c r="E49" s="50"/>
      <c r="F49" s="50"/>
      <c r="G49" s="50"/>
      <c r="H49" s="50"/>
      <c r="I49" s="50"/>
      <c r="J49" s="50"/>
      <c r="K49" s="50"/>
      <c r="L49" s="50"/>
      <c r="M49" s="50"/>
      <c r="N49" s="50"/>
      <c r="O49" s="50"/>
      <c r="P49" s="50"/>
      <c r="Q49" s="50"/>
      <c r="R49" s="50"/>
      <c r="S49" s="50"/>
      <c r="T49" s="50"/>
      <c r="U49" s="50"/>
      <c r="V49" s="50"/>
      <c r="W49" s="50"/>
      <c r="X49" s="50"/>
      <c r="Y49" s="50"/>
      <c r="Z49" s="50"/>
    </row>
    <row r="50" spans="1:26" s="142" customFormat="1" ht="17.100000000000001" customHeight="1">
      <c r="B50" s="1295" t="s">
        <v>279</v>
      </c>
      <c r="C50" s="1296"/>
      <c r="D50" s="621"/>
      <c r="E50" s="50"/>
      <c r="F50" s="50"/>
      <c r="G50" s="50"/>
      <c r="H50" s="50"/>
      <c r="I50" s="50"/>
      <c r="J50" s="50"/>
      <c r="K50" s="50"/>
      <c r="L50" s="50"/>
      <c r="M50" s="50"/>
      <c r="N50" s="50"/>
      <c r="O50" s="50"/>
      <c r="P50" s="50"/>
      <c r="Q50" s="50"/>
      <c r="R50" s="50"/>
      <c r="S50" s="50"/>
      <c r="T50" s="50"/>
      <c r="U50" s="50"/>
      <c r="V50" s="50"/>
      <c r="W50" s="50"/>
      <c r="X50" s="50"/>
      <c r="Y50" s="50"/>
      <c r="Z50" s="50"/>
    </row>
    <row r="51" spans="1:26" s="142" customFormat="1" ht="17.100000000000001" customHeight="1">
      <c r="B51" s="1295" t="s">
        <v>282</v>
      </c>
      <c r="C51" s="1296"/>
      <c r="D51" s="621"/>
      <c r="E51" s="50"/>
      <c r="F51" s="50"/>
      <c r="G51" s="50"/>
      <c r="H51" s="50"/>
      <c r="I51" s="50"/>
      <c r="J51" s="50"/>
      <c r="K51" s="50"/>
      <c r="L51" s="50"/>
      <c r="M51" s="50"/>
      <c r="N51" s="50"/>
      <c r="O51" s="50"/>
      <c r="P51" s="50"/>
      <c r="Q51" s="50"/>
      <c r="R51" s="50"/>
      <c r="S51" s="50"/>
      <c r="T51" s="50"/>
      <c r="U51" s="50"/>
      <c r="V51" s="50"/>
      <c r="W51" s="50"/>
      <c r="X51" s="50"/>
      <c r="Y51" s="50"/>
      <c r="Z51" s="50"/>
    </row>
    <row r="52" spans="1:26" s="142" customFormat="1" ht="17.100000000000001" customHeight="1">
      <c r="B52" s="1293" t="s">
        <v>281</v>
      </c>
      <c r="C52" s="1294"/>
      <c r="D52" s="625"/>
      <c r="E52" s="50"/>
      <c r="F52" s="50"/>
      <c r="G52" s="50"/>
      <c r="H52" s="50"/>
      <c r="I52" s="50"/>
      <c r="J52" s="50"/>
      <c r="K52" s="50"/>
      <c r="L52" s="50"/>
      <c r="M52" s="50"/>
      <c r="N52" s="50"/>
      <c r="O52" s="50"/>
      <c r="P52" s="50"/>
      <c r="Q52" s="50"/>
      <c r="R52" s="50"/>
      <c r="S52" s="50"/>
      <c r="T52" s="50"/>
      <c r="U52" s="50"/>
      <c r="V52" s="50"/>
      <c r="W52" s="50"/>
      <c r="X52" s="50"/>
      <c r="Y52" s="50"/>
      <c r="Z52" s="50"/>
    </row>
    <row r="53" spans="1:26" s="142" customFormat="1" ht="17.100000000000001" customHeight="1">
      <c r="B53" s="624" t="s">
        <v>179</v>
      </c>
      <c r="C53" s="623"/>
      <c r="D53" s="622" t="str">
        <f>IF(SUM(D54+D55+D56)=0," ",SUM(D54+D55+D56))</f>
        <v xml:space="preserve"> </v>
      </c>
      <c r="E53" s="50"/>
      <c r="F53" s="50"/>
      <c r="G53" s="50"/>
      <c r="H53" s="50"/>
      <c r="I53" s="50"/>
      <c r="J53" s="50"/>
      <c r="K53" s="50"/>
      <c r="L53" s="50"/>
      <c r="M53" s="50"/>
      <c r="N53" s="50"/>
      <c r="O53" s="50"/>
      <c r="P53" s="50"/>
      <c r="Q53" s="50"/>
      <c r="R53" s="50"/>
      <c r="S53" s="50"/>
      <c r="T53" s="50"/>
      <c r="U53" s="50"/>
      <c r="V53" s="50"/>
      <c r="W53" s="50"/>
      <c r="X53" s="50"/>
      <c r="Y53" s="50"/>
      <c r="Z53" s="50"/>
    </row>
    <row r="54" spans="1:26" s="142" customFormat="1" ht="17.100000000000001" customHeight="1">
      <c r="B54" s="1295" t="s">
        <v>279</v>
      </c>
      <c r="C54" s="1296"/>
      <c r="D54" s="621"/>
      <c r="E54" s="50"/>
      <c r="F54" s="50"/>
      <c r="G54" s="50"/>
      <c r="H54" s="50"/>
      <c r="I54" s="50"/>
      <c r="J54" s="50"/>
      <c r="K54" s="50"/>
      <c r="L54" s="50"/>
      <c r="M54" s="50"/>
      <c r="N54" s="50"/>
      <c r="O54" s="50"/>
      <c r="P54" s="50"/>
      <c r="Q54" s="50"/>
      <c r="R54" s="50"/>
      <c r="S54" s="50"/>
      <c r="T54" s="50"/>
      <c r="U54" s="50"/>
      <c r="V54" s="50"/>
      <c r="W54" s="50"/>
      <c r="X54" s="50"/>
      <c r="Y54" s="50"/>
      <c r="Z54" s="50"/>
    </row>
    <row r="55" spans="1:26" s="142" customFormat="1" ht="17.100000000000001" customHeight="1">
      <c r="B55" s="1295" t="s">
        <v>282</v>
      </c>
      <c r="C55" s="1296"/>
      <c r="D55" s="621"/>
      <c r="E55" s="50"/>
      <c r="F55" s="50"/>
      <c r="G55" s="50"/>
      <c r="H55" s="50"/>
      <c r="I55" s="50"/>
      <c r="J55" s="50"/>
      <c r="K55" s="50"/>
      <c r="L55" s="50"/>
      <c r="M55" s="50"/>
      <c r="N55" s="50"/>
      <c r="O55" s="50"/>
      <c r="P55" s="50"/>
      <c r="Q55" s="50"/>
      <c r="R55" s="50"/>
      <c r="S55" s="50"/>
      <c r="T55" s="50"/>
      <c r="U55" s="50"/>
      <c r="V55" s="50"/>
      <c r="W55" s="50"/>
      <c r="X55" s="50"/>
      <c r="Y55" s="50"/>
      <c r="Z55" s="50"/>
    </row>
    <row r="56" spans="1:26" s="142" customFormat="1" ht="17.100000000000001" customHeight="1" thickBot="1">
      <c r="B56" s="1293" t="s">
        <v>281</v>
      </c>
      <c r="C56" s="1294"/>
      <c r="D56" s="620"/>
      <c r="E56" s="50"/>
      <c r="F56" s="50"/>
      <c r="G56" s="50"/>
      <c r="H56" s="50"/>
      <c r="I56" s="50"/>
      <c r="J56" s="50"/>
      <c r="K56" s="50"/>
      <c r="L56" s="50"/>
      <c r="M56" s="50"/>
      <c r="N56" s="50"/>
      <c r="O56" s="50"/>
      <c r="P56" s="50"/>
      <c r="Q56" s="50"/>
      <c r="R56" s="50"/>
      <c r="S56" s="50"/>
      <c r="T56" s="50"/>
      <c r="U56" s="50"/>
      <c r="V56" s="50"/>
      <c r="W56" s="50"/>
      <c r="X56" s="50"/>
      <c r="Y56" s="50"/>
      <c r="Z56" s="50"/>
    </row>
    <row r="57" spans="1:26" s="142" customFormat="1" ht="17.100000000000001" customHeight="1" thickTop="1">
      <c r="B57" s="1272" t="s">
        <v>301</v>
      </c>
      <c r="C57" s="1304"/>
      <c r="D57" s="607" t="str">
        <f>IF(SUM(D40,D45,D49,D53) = 0," ",SUM(D40,D45,D49,D53))</f>
        <v xml:space="preserve"> </v>
      </c>
      <c r="E57" s="50"/>
      <c r="F57" s="50"/>
      <c r="G57" s="50"/>
      <c r="H57" s="50"/>
      <c r="I57" s="50"/>
      <c r="J57" s="50"/>
      <c r="K57" s="50"/>
      <c r="L57" s="50"/>
      <c r="M57" s="50"/>
      <c r="N57" s="50"/>
      <c r="O57" s="50"/>
      <c r="P57" s="50"/>
      <c r="Q57" s="50"/>
      <c r="R57" s="50"/>
      <c r="S57" s="50"/>
      <c r="T57" s="50"/>
      <c r="U57" s="50"/>
      <c r="V57" s="50"/>
      <c r="W57" s="50"/>
      <c r="X57" s="50"/>
      <c r="Y57" s="50"/>
      <c r="Z57" s="50"/>
    </row>
    <row r="58" spans="1:26" s="142" customFormat="1" ht="15" customHeight="1">
      <c r="B58" s="1297" t="s">
        <v>50</v>
      </c>
      <c r="C58" s="1298"/>
      <c r="D58" s="1299"/>
      <c r="E58" s="50"/>
      <c r="F58" s="50"/>
      <c r="G58" s="50"/>
      <c r="H58" s="50"/>
      <c r="I58" s="50"/>
      <c r="J58" s="50"/>
      <c r="K58" s="50"/>
      <c r="L58" s="50"/>
      <c r="M58" s="50"/>
      <c r="N58" s="50"/>
      <c r="O58" s="50"/>
      <c r="P58" s="50"/>
      <c r="Q58" s="50"/>
      <c r="R58" s="50"/>
      <c r="S58" s="50"/>
      <c r="T58" s="50"/>
      <c r="U58" s="50"/>
      <c r="V58" s="50"/>
      <c r="W58" s="50"/>
      <c r="X58" s="50"/>
      <c r="Y58" s="50"/>
      <c r="Z58" s="50"/>
    </row>
    <row r="59" spans="1:26" s="142" customFormat="1" ht="45.75" customHeight="1">
      <c r="B59" s="1300"/>
      <c r="C59" s="1301"/>
      <c r="D59" s="1302"/>
      <c r="E59" s="50"/>
      <c r="F59" s="50"/>
      <c r="G59" s="50"/>
      <c r="H59" s="50"/>
      <c r="I59" s="50"/>
      <c r="J59" s="50"/>
      <c r="K59" s="50"/>
      <c r="L59" s="50"/>
      <c r="M59" s="50"/>
      <c r="N59" s="50"/>
      <c r="O59" s="50"/>
      <c r="P59" s="50"/>
      <c r="Q59" s="50"/>
      <c r="R59" s="50"/>
      <c r="S59" s="50"/>
      <c r="T59" s="50"/>
      <c r="U59" s="50"/>
      <c r="V59" s="50"/>
      <c r="W59" s="50"/>
      <c r="X59" s="50"/>
      <c r="Y59" s="50"/>
      <c r="Z59" s="50"/>
    </row>
    <row r="60" spans="1:26" s="618" customFormat="1" ht="138.6" customHeight="1">
      <c r="B60" s="1238" t="s">
        <v>315</v>
      </c>
      <c r="C60" s="1282"/>
      <c r="D60" s="1283"/>
      <c r="E60" s="619"/>
      <c r="F60" s="619"/>
      <c r="G60" s="619"/>
      <c r="H60" s="619"/>
      <c r="I60" s="619"/>
      <c r="J60" s="619"/>
      <c r="K60" s="619"/>
      <c r="L60" s="619"/>
      <c r="M60" s="619"/>
      <c r="N60" s="619"/>
      <c r="O60" s="619"/>
      <c r="P60" s="619"/>
      <c r="Q60" s="619"/>
      <c r="R60" s="619"/>
      <c r="S60" s="619"/>
      <c r="T60" s="619"/>
      <c r="U60" s="619"/>
      <c r="V60" s="619"/>
      <c r="W60" s="619"/>
      <c r="X60" s="619"/>
      <c r="Y60" s="619"/>
      <c r="Z60" s="619"/>
    </row>
    <row r="61" spans="1:26" s="618" customFormat="1" ht="286.35000000000002" customHeight="1">
      <c r="B61" s="1303"/>
      <c r="C61" s="1303"/>
      <c r="D61" s="1303"/>
      <c r="E61" s="619"/>
      <c r="F61" s="619"/>
      <c r="G61" s="619"/>
      <c r="H61" s="619"/>
      <c r="I61" s="619"/>
      <c r="J61" s="619"/>
      <c r="K61" s="619"/>
      <c r="L61" s="619"/>
      <c r="M61" s="619"/>
      <c r="N61" s="619"/>
      <c r="O61" s="619"/>
      <c r="P61" s="619"/>
      <c r="Q61" s="619"/>
      <c r="R61" s="619"/>
      <c r="S61" s="619"/>
      <c r="T61" s="619"/>
      <c r="U61" s="619"/>
      <c r="V61" s="619"/>
      <c r="W61" s="619"/>
      <c r="X61" s="619"/>
      <c r="Y61" s="619"/>
      <c r="Z61" s="619"/>
    </row>
    <row r="62" spans="1:26" s="456" customFormat="1" ht="36" customHeight="1">
      <c r="A62" s="618"/>
      <c r="B62" s="1075" t="str">
        <f>CONCATENATE("Fråga 49: Ange antalet virtuella accessförbindelser som ni producerar i egen eller annans passiva nätinfrastruktur i syfte att leverera bredbandstjänster till slutkund den ",'Om detta formulär'!C10,":")</f>
        <v>Fråga 49: Ange antalet virtuella accessförbindelser som ni producerar i egen eller annans passiva nätinfrastruktur i syfte att leverera bredbandstjänster till slutkund den 31 dec 2019:</v>
      </c>
      <c r="C62" s="1076"/>
      <c r="D62" s="1077"/>
      <c r="E62" s="503" t="s">
        <v>525</v>
      </c>
      <c r="F62" s="427"/>
      <c r="G62" s="426"/>
      <c r="H62" s="426"/>
      <c r="I62" s="426"/>
      <c r="J62" s="426"/>
      <c r="K62" s="426"/>
      <c r="L62" s="426"/>
      <c r="M62" s="427"/>
      <c r="N62" s="426"/>
      <c r="O62" s="426"/>
      <c r="P62" s="426"/>
      <c r="Q62" s="426"/>
      <c r="R62" s="426"/>
      <c r="S62" s="426"/>
      <c r="T62" s="427"/>
      <c r="U62" s="426"/>
      <c r="V62" s="426"/>
      <c r="W62" s="426"/>
      <c r="X62" s="426"/>
      <c r="Y62" s="426"/>
      <c r="Z62" s="426"/>
    </row>
    <row r="63" spans="1:26" s="456" customFormat="1" ht="15" customHeight="1">
      <c r="B63" s="1316"/>
      <c r="C63" s="1317"/>
      <c r="D63" s="617" t="s">
        <v>20</v>
      </c>
      <c r="E63" s="426"/>
      <c r="F63" s="426"/>
      <c r="G63" s="426"/>
      <c r="H63" s="426"/>
      <c r="I63" s="426"/>
      <c r="J63" s="426"/>
      <c r="K63" s="426"/>
      <c r="L63" s="426"/>
      <c r="M63" s="426"/>
      <c r="N63" s="426"/>
      <c r="O63" s="426"/>
      <c r="P63" s="426"/>
      <c r="Q63" s="426"/>
      <c r="R63" s="426"/>
      <c r="S63" s="426"/>
      <c r="T63" s="426"/>
      <c r="U63" s="426"/>
      <c r="V63" s="426"/>
      <c r="W63" s="426"/>
      <c r="X63" s="426"/>
      <c r="Y63" s="426"/>
      <c r="Z63" s="426"/>
    </row>
    <row r="64" spans="1:26" s="586" customFormat="1" ht="29.25" customHeight="1">
      <c r="A64" s="456"/>
      <c r="B64" s="1305" t="s">
        <v>314</v>
      </c>
      <c r="C64" s="1306"/>
      <c r="D64" s="611" t="str">
        <f>IF(SUM(D65:D66)=0,"",SUM(D65:D66))</f>
        <v/>
      </c>
    </row>
    <row r="65" spans="1:4" s="586" customFormat="1" ht="15" customHeight="1">
      <c r="A65" s="456"/>
      <c r="B65" s="678" t="s">
        <v>319</v>
      </c>
      <c r="C65" s="612"/>
      <c r="D65" s="610"/>
    </row>
    <row r="66" spans="1:4" s="586" customFormat="1">
      <c r="A66" s="456"/>
      <c r="B66" s="638" t="s">
        <v>265</v>
      </c>
      <c r="C66" s="612"/>
      <c r="D66" s="610"/>
    </row>
    <row r="67" spans="1:4" s="586" customFormat="1">
      <c r="A67" s="456"/>
      <c r="B67" s="615" t="str">
        <f>CONCATENATE("därav som tjänst vilken återförsäljs direkt till slutkunder [",'Byggnadsanslutningar mm'!A89,"]:")</f>
        <v>därav som tjänst vilken återförsäljs direkt till slutkunder [7]:</v>
      </c>
      <c r="C67" s="614"/>
      <c r="D67" s="610"/>
    </row>
    <row r="68" spans="1:4" s="586" customFormat="1" ht="33" customHeight="1">
      <c r="A68" s="456"/>
      <c r="B68" s="1267" t="s">
        <v>313</v>
      </c>
      <c r="C68" s="1292"/>
      <c r="D68" s="611" t="str">
        <f>IF(SUM(D69:D70)=0,"",SUM(D69:D70))</f>
        <v/>
      </c>
    </row>
    <row r="69" spans="1:4" s="586" customFormat="1" ht="15" customHeight="1">
      <c r="A69" s="456"/>
      <c r="B69" s="678" t="s">
        <v>319</v>
      </c>
      <c r="C69" s="612"/>
      <c r="D69" s="610"/>
    </row>
    <row r="70" spans="1:4" s="586" customFormat="1" ht="13.35" customHeight="1">
      <c r="A70" s="456"/>
      <c r="B70" s="613" t="s">
        <v>265</v>
      </c>
      <c r="C70" s="612"/>
      <c r="D70" s="610"/>
    </row>
    <row r="71" spans="1:4" s="586" customFormat="1">
      <c r="A71" s="456"/>
      <c r="B71" s="615" t="str">
        <f>CONCATENATE("därav som tjänst vilken återförsäljs direkt till slutkunder [",'Byggnadsanslutningar mm'!A89,"]:")</f>
        <v>därav som tjänst vilken återförsäljs direkt till slutkunder [7]:</v>
      </c>
      <c r="C71" s="614"/>
      <c r="D71" s="610"/>
    </row>
    <row r="72" spans="1:4" s="586" customFormat="1" ht="25.5" customHeight="1" outlineLevel="1">
      <c r="A72" s="456"/>
      <c r="B72" s="1305" t="s">
        <v>312</v>
      </c>
      <c r="C72" s="1306"/>
      <c r="D72" s="611" t="str">
        <f>IF(SUM(D73:D74)=0,"",SUM(D73:D74))</f>
        <v/>
      </c>
    </row>
    <row r="73" spans="1:4" s="586" customFormat="1" ht="15" customHeight="1" outlineLevel="1">
      <c r="A73" s="456"/>
      <c r="B73" s="678" t="s">
        <v>319</v>
      </c>
      <c r="C73" s="612"/>
      <c r="D73" s="610"/>
    </row>
    <row r="74" spans="1:4" s="586" customFormat="1" outlineLevel="1">
      <c r="A74" s="456"/>
      <c r="B74" s="613" t="s">
        <v>265</v>
      </c>
      <c r="C74" s="612"/>
      <c r="D74" s="610"/>
    </row>
    <row r="75" spans="1:4" s="586" customFormat="1" outlineLevel="1">
      <c r="A75" s="456"/>
      <c r="B75" s="615" t="str">
        <f>CONCATENATE("därav som tjänst vilken återförsäljs direkt till slutkunder [",'Byggnadsanslutningar mm'!A89,"]:")</f>
        <v>därav som tjänst vilken återförsäljs direkt till slutkunder [7]:</v>
      </c>
      <c r="C75" s="614"/>
      <c r="D75" s="610"/>
    </row>
    <row r="76" spans="1:4" s="586" customFormat="1" ht="25.5" customHeight="1">
      <c r="A76" s="456"/>
      <c r="B76" s="1267" t="s">
        <v>311</v>
      </c>
      <c r="C76" s="1292"/>
      <c r="D76" s="611" t="str">
        <f>IF(SUM(D77:D78)=0,"",SUM(D77:D78))</f>
        <v/>
      </c>
    </row>
    <row r="77" spans="1:4" s="586" customFormat="1" ht="15" customHeight="1">
      <c r="A77" s="456"/>
      <c r="B77" s="678" t="s">
        <v>319</v>
      </c>
      <c r="C77" s="612"/>
      <c r="D77" s="610"/>
    </row>
    <row r="78" spans="1:4" s="586" customFormat="1">
      <c r="A78" s="456"/>
      <c r="B78" s="613" t="s">
        <v>266</v>
      </c>
      <c r="C78" s="612"/>
      <c r="D78" s="610"/>
    </row>
    <row r="79" spans="1:4" s="586" customFormat="1" ht="13.5" thickBot="1">
      <c r="A79" s="456"/>
      <c r="B79" s="1318" t="str">
        <f>CONCATENATE("därav som tjänst vilken återförsäljs direkt till slutkunder [",'Byggnadsanslutningar mm'!A89,"]:")</f>
        <v>därav som tjänst vilken återförsäljs direkt till slutkunder [7]:</v>
      </c>
      <c r="C79" s="1319"/>
      <c r="D79" s="610"/>
    </row>
    <row r="80" spans="1:4" s="586" customFormat="1" ht="13.5" thickTop="1">
      <c r="A80" s="456"/>
      <c r="B80" s="609" t="s">
        <v>310</v>
      </c>
      <c r="C80" s="608"/>
      <c r="D80" s="607" t="str">
        <f>IF(SUM(D64,D68,D72,D76)=0,"",SUM(D64,D68,D72,D76))</f>
        <v/>
      </c>
    </row>
    <row r="81" spans="1:4" ht="21.75" customHeight="1">
      <c r="A81" s="142"/>
      <c r="B81" s="1313" t="s">
        <v>50</v>
      </c>
      <c r="C81" s="1314"/>
      <c r="D81" s="1315"/>
    </row>
    <row r="82" spans="1:4" ht="13.35" customHeight="1">
      <c r="A82" s="142"/>
      <c r="B82" s="540" t="s">
        <v>283</v>
      </c>
    </row>
    <row r="83" spans="1:4" ht="38.25">
      <c r="A83" s="606">
        <v>1</v>
      </c>
      <c r="B83" s="136" t="s">
        <v>110</v>
      </c>
      <c r="C83" s="597"/>
      <c r="D83" s="597"/>
    </row>
    <row r="84" spans="1:4" ht="25.5">
      <c r="A84" s="606">
        <v>2</v>
      </c>
      <c r="B84" s="597" t="s">
        <v>111</v>
      </c>
      <c r="C84" s="597"/>
      <c r="D84" s="597"/>
    </row>
    <row r="85" spans="1:4" ht="26.45" customHeight="1">
      <c r="A85" s="606">
        <v>3</v>
      </c>
      <c r="B85" s="597" t="s">
        <v>112</v>
      </c>
      <c r="C85" s="597"/>
      <c r="D85" s="597"/>
    </row>
    <row r="86" spans="1:4" ht="26.45" customHeight="1">
      <c r="A86" s="606">
        <v>4</v>
      </c>
      <c r="B86" s="597" t="s">
        <v>113</v>
      </c>
      <c r="C86" s="597"/>
      <c r="D86" s="597"/>
    </row>
    <row r="87" spans="1:4" ht="40.35" customHeight="1">
      <c r="A87" s="606">
        <v>5</v>
      </c>
      <c r="B87" s="597" t="s">
        <v>195</v>
      </c>
      <c r="C87" s="597"/>
      <c r="D87" s="597"/>
    </row>
    <row r="88" spans="1:4" ht="38.25">
      <c r="A88" s="606">
        <v>6</v>
      </c>
      <c r="B88" s="597" t="s">
        <v>196</v>
      </c>
      <c r="C88" s="597"/>
      <c r="D88" s="597"/>
    </row>
    <row r="89" spans="1:4" ht="63.75">
      <c r="A89" s="606">
        <v>7</v>
      </c>
      <c r="B89" s="597" t="s">
        <v>197</v>
      </c>
      <c r="C89" s="597"/>
      <c r="D89" s="597"/>
    </row>
  </sheetData>
  <mergeCells count="43">
    <mergeCell ref="B14:C14"/>
    <mergeCell ref="B81:D81"/>
    <mergeCell ref="B42:C42"/>
    <mergeCell ref="B43:C43"/>
    <mergeCell ref="B47:C47"/>
    <mergeCell ref="B46:C46"/>
    <mergeCell ref="B52:C52"/>
    <mergeCell ref="B54:C54"/>
    <mergeCell ref="B63:C63"/>
    <mergeCell ref="B79:C79"/>
    <mergeCell ref="B64:C64"/>
    <mergeCell ref="B68:C68"/>
    <mergeCell ref="B56:C56"/>
    <mergeCell ref="B55:C55"/>
    <mergeCell ref="B25:D26"/>
    <mergeCell ref="B38:D38"/>
    <mergeCell ref="B9:D9"/>
    <mergeCell ref="B37:D37"/>
    <mergeCell ref="B76:C76"/>
    <mergeCell ref="B48:C48"/>
    <mergeCell ref="B51:C51"/>
    <mergeCell ref="B50:C50"/>
    <mergeCell ref="B58:D59"/>
    <mergeCell ref="B62:D62"/>
    <mergeCell ref="B61:D61"/>
    <mergeCell ref="B60:D60"/>
    <mergeCell ref="B57:C57"/>
    <mergeCell ref="B72:C72"/>
    <mergeCell ref="B41:C41"/>
    <mergeCell ref="B36:D36"/>
    <mergeCell ref="B29:D35"/>
    <mergeCell ref="B11:C11"/>
    <mergeCell ref="C1:D1"/>
    <mergeCell ref="B2:D2"/>
    <mergeCell ref="B4:D4"/>
    <mergeCell ref="B7:D7"/>
    <mergeCell ref="B5:D5"/>
    <mergeCell ref="B3:D3"/>
    <mergeCell ref="B40:C40"/>
    <mergeCell ref="B28:D28"/>
    <mergeCell ref="B24:C24"/>
    <mergeCell ref="B27:D27"/>
    <mergeCell ref="B39:C39"/>
  </mergeCells>
  <pageMargins left="0.78740157480314965" right="0.78740157480314965" top="0.39370078740157483" bottom="0.35433070866141736" header="0.43307086614173229" footer="0.23622047244094491"/>
  <pageSetup paperSize="9" scale="83" fitToHeight="0" orientation="portrait" r:id="rId1"/>
  <headerFooter alignWithMargins="0">
    <oddFooter>&amp;CSida &amp;P(&amp;N)</oddFooter>
  </headerFooter>
  <rowBreaks count="3" manualBreakCount="3">
    <brk id="26" max="14" man="1"/>
    <brk id="59" max="14" man="1"/>
    <brk id="81"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B1:G35"/>
  <sheetViews>
    <sheetView zoomScale="96" zoomScaleNormal="96" zoomScaleSheetLayoutView="100" workbookViewId="0">
      <selection activeCell="H8" sqref="H8"/>
    </sheetView>
  </sheetViews>
  <sheetFormatPr defaultColWidth="9.140625" defaultRowHeight="12.75"/>
  <cols>
    <col min="1" max="1" width="9.140625" style="827"/>
    <col min="2" max="2" width="65.42578125" style="827" customWidth="1"/>
    <col min="3" max="4" width="9.140625" style="827"/>
    <col min="5" max="5" width="10.5703125" style="827" customWidth="1"/>
    <col min="6" max="6" width="4.5703125" style="827" customWidth="1"/>
    <col min="7" max="16384" width="9.140625" style="827"/>
  </cols>
  <sheetData>
    <row r="1" spans="2:7" ht="13.5" thickBot="1">
      <c r="B1" s="185"/>
      <c r="C1" s="185"/>
      <c r="D1" s="185"/>
      <c r="E1" s="185"/>
    </row>
    <row r="2" spans="2:7" ht="15.75">
      <c r="B2" s="1323" t="s">
        <v>227</v>
      </c>
      <c r="C2" s="1324"/>
      <c r="D2" s="1324"/>
      <c r="E2" s="1325"/>
      <c r="G2" s="877" t="s">
        <v>550</v>
      </c>
    </row>
    <row r="3" spans="2:7" ht="17.25" customHeight="1">
      <c r="B3" s="1326" t="s">
        <v>337</v>
      </c>
      <c r="C3" s="1327"/>
      <c r="D3" s="1327"/>
      <c r="E3" s="1328"/>
    </row>
    <row r="4" spans="2:7" ht="65.25" customHeight="1" thickBot="1">
      <c r="B4" s="1241" t="s">
        <v>406</v>
      </c>
      <c r="C4" s="1242"/>
      <c r="D4" s="1242"/>
      <c r="E4" s="1243"/>
      <c r="G4" s="827" t="s">
        <v>557</v>
      </c>
    </row>
    <row r="5" spans="2:7" ht="60.75" customHeight="1" thickBot="1">
      <c r="B5" s="1329" t="s">
        <v>542</v>
      </c>
      <c r="C5" s="1330"/>
      <c r="D5" s="1330"/>
      <c r="E5" s="1331"/>
      <c r="G5" s="827" t="s">
        <v>526</v>
      </c>
    </row>
    <row r="6" spans="2:7">
      <c r="B6" s="187"/>
      <c r="C6" s="828"/>
      <c r="D6" s="829"/>
      <c r="E6" s="830"/>
    </row>
    <row r="7" spans="2:7" s="831" customFormat="1">
      <c r="B7" s="187" t="s">
        <v>354</v>
      </c>
      <c r="C7" s="828" t="s">
        <v>370</v>
      </c>
      <c r="D7" s="829" t="s">
        <v>60</v>
      </c>
      <c r="E7" s="830" t="s">
        <v>192</v>
      </c>
    </row>
    <row r="8" spans="2:7" s="831" customFormat="1">
      <c r="B8" s="832"/>
      <c r="C8" s="1320"/>
      <c r="D8" s="1321"/>
      <c r="E8" s="1332"/>
    </row>
    <row r="9" spans="2:7" s="831" customFormat="1">
      <c r="B9" s="187" t="s">
        <v>355</v>
      </c>
      <c r="C9" s="828" t="s">
        <v>370</v>
      </c>
      <c r="D9" s="829" t="s">
        <v>60</v>
      </c>
      <c r="E9" s="830" t="s">
        <v>192</v>
      </c>
    </row>
    <row r="10" spans="2:7" s="831" customFormat="1">
      <c r="B10" s="833"/>
      <c r="C10" s="828"/>
      <c r="D10" s="829"/>
      <c r="E10" s="830"/>
    </row>
    <row r="11" spans="2:7" s="831" customFormat="1">
      <c r="B11" s="187" t="s">
        <v>356</v>
      </c>
      <c r="C11" s="828" t="s">
        <v>370</v>
      </c>
      <c r="D11" s="829" t="s">
        <v>60</v>
      </c>
      <c r="E11" s="830" t="s">
        <v>192</v>
      </c>
    </row>
    <row r="12" spans="2:7">
      <c r="B12" s="834"/>
      <c r="C12" s="828"/>
      <c r="D12" s="829"/>
      <c r="E12" s="835"/>
    </row>
    <row r="13" spans="2:7" ht="32.25" customHeight="1">
      <c r="B13" s="1168" t="s">
        <v>50</v>
      </c>
      <c r="C13" s="1216"/>
      <c r="D13" s="1216"/>
      <c r="E13" s="1217"/>
    </row>
    <row r="14" spans="2:7" ht="13.5" thickBot="1">
      <c r="B14" s="836"/>
      <c r="C14" s="1320"/>
      <c r="D14" s="1321"/>
      <c r="E14" s="1322"/>
    </row>
    <row r="15" spans="2:7" ht="66" customHeight="1" thickBot="1">
      <c r="B15" s="1329" t="s">
        <v>543</v>
      </c>
      <c r="C15" s="1330"/>
      <c r="D15" s="1330"/>
      <c r="E15" s="1331"/>
      <c r="G15" s="827" t="s">
        <v>526</v>
      </c>
    </row>
    <row r="16" spans="2:7">
      <c r="B16" s="834" t="s">
        <v>357</v>
      </c>
      <c r="C16" s="1320"/>
      <c r="D16" s="1321"/>
      <c r="E16" s="1322"/>
      <c r="G16" s="827" t="s">
        <v>539</v>
      </c>
    </row>
    <row r="17" spans="2:7">
      <c r="B17" s="834" t="s">
        <v>358</v>
      </c>
      <c r="C17" s="1320"/>
      <c r="D17" s="1321"/>
      <c r="E17" s="1322"/>
    </row>
    <row r="18" spans="2:7">
      <c r="B18" s="834" t="s">
        <v>359</v>
      </c>
      <c r="C18" s="1320"/>
      <c r="D18" s="1321"/>
      <c r="E18" s="1322"/>
    </row>
    <row r="19" spans="2:7">
      <c r="B19" s="834" t="s">
        <v>192</v>
      </c>
      <c r="C19" s="1320"/>
      <c r="D19" s="1321"/>
      <c r="E19" s="1322"/>
    </row>
    <row r="20" spans="2:7" ht="27" customHeight="1" thickBot="1">
      <c r="B20" s="1168" t="s">
        <v>50</v>
      </c>
      <c r="C20" s="1216"/>
      <c r="D20" s="1216"/>
      <c r="E20" s="1217"/>
    </row>
    <row r="21" spans="2:7" ht="13.5" thickBot="1">
      <c r="B21" s="513"/>
      <c r="C21" s="542"/>
      <c r="D21" s="542"/>
      <c r="E21" s="542"/>
    </row>
    <row r="22" spans="2:7" ht="35.25" customHeight="1" thickBot="1">
      <c r="B22" s="1329" t="s">
        <v>544</v>
      </c>
      <c r="C22" s="1330"/>
      <c r="D22" s="1330"/>
      <c r="E22" s="1331"/>
      <c r="G22" s="827" t="s">
        <v>526</v>
      </c>
    </row>
    <row r="23" spans="2:7">
      <c r="B23" s="187" t="s">
        <v>360</v>
      </c>
      <c r="C23" s="837" t="s">
        <v>370</v>
      </c>
      <c r="D23" s="838" t="s">
        <v>60</v>
      </c>
      <c r="E23" s="839" t="s">
        <v>192</v>
      </c>
      <c r="G23" s="827" t="s">
        <v>540</v>
      </c>
    </row>
    <row r="24" spans="2:7">
      <c r="B24" s="833"/>
      <c r="C24" s="837"/>
      <c r="D24" s="838"/>
      <c r="E24" s="839"/>
    </row>
    <row r="25" spans="2:7">
      <c r="B25" s="187" t="s">
        <v>355</v>
      </c>
      <c r="C25" s="837" t="s">
        <v>370</v>
      </c>
      <c r="D25" s="838" t="s">
        <v>60</v>
      </c>
      <c r="E25" s="839" t="s">
        <v>192</v>
      </c>
    </row>
    <row r="26" spans="2:7">
      <c r="B26" s="833"/>
      <c r="C26" s="837"/>
      <c r="D26" s="838"/>
      <c r="E26" s="839"/>
    </row>
    <row r="27" spans="2:7">
      <c r="B27" s="187" t="s">
        <v>361</v>
      </c>
      <c r="C27" s="837" t="s">
        <v>370</v>
      </c>
      <c r="D27" s="838" t="s">
        <v>60</v>
      </c>
      <c r="E27" s="839" t="s">
        <v>192</v>
      </c>
    </row>
    <row r="28" spans="2:7">
      <c r="B28" s="834"/>
      <c r="C28" s="828"/>
      <c r="D28" s="829"/>
      <c r="E28" s="835"/>
    </row>
    <row r="29" spans="2:7" ht="24" customHeight="1" thickBot="1">
      <c r="B29" s="1168" t="s">
        <v>50</v>
      </c>
      <c r="C29" s="1216"/>
      <c r="D29" s="1216"/>
      <c r="E29" s="1217"/>
    </row>
    <row r="30" spans="2:7" ht="49.5" customHeight="1" thickBot="1">
      <c r="B30" s="1329" t="s">
        <v>545</v>
      </c>
      <c r="C30" s="1330"/>
      <c r="D30" s="1330"/>
      <c r="E30" s="1331"/>
      <c r="G30" s="827" t="s">
        <v>526</v>
      </c>
    </row>
    <row r="31" spans="2:7">
      <c r="B31" s="834" t="s">
        <v>61</v>
      </c>
      <c r="C31" s="1320"/>
      <c r="D31" s="1321"/>
      <c r="E31" s="1322"/>
      <c r="G31" s="827" t="s">
        <v>541</v>
      </c>
    </row>
    <row r="32" spans="2:7">
      <c r="B32" s="834" t="s">
        <v>60</v>
      </c>
      <c r="C32" s="1320"/>
      <c r="D32" s="1321"/>
      <c r="E32" s="1333"/>
    </row>
    <row r="33" spans="2:5">
      <c r="B33" s="834" t="s">
        <v>192</v>
      </c>
      <c r="C33" s="1320"/>
      <c r="D33" s="1321"/>
      <c r="E33" s="1322"/>
    </row>
    <row r="34" spans="2:5">
      <c r="B34" s="834"/>
      <c r="C34" s="1320"/>
      <c r="D34" s="1321"/>
      <c r="E34" s="1322"/>
    </row>
    <row r="35" spans="2:5" ht="31.5" customHeight="1">
      <c r="B35" s="1168" t="s">
        <v>50</v>
      </c>
      <c r="C35" s="1216"/>
      <c r="D35" s="1216"/>
      <c r="E35" s="1217"/>
    </row>
  </sheetData>
  <mergeCells count="21">
    <mergeCell ref="C33:E33"/>
    <mergeCell ref="C34:E34"/>
    <mergeCell ref="B35:E35"/>
    <mergeCell ref="B20:E20"/>
    <mergeCell ref="B22:E22"/>
    <mergeCell ref="B29:E29"/>
    <mergeCell ref="B30:E30"/>
    <mergeCell ref="C31:E31"/>
    <mergeCell ref="C32:E32"/>
    <mergeCell ref="C19:E19"/>
    <mergeCell ref="B2:E2"/>
    <mergeCell ref="B3:E3"/>
    <mergeCell ref="B4:E4"/>
    <mergeCell ref="B5:E5"/>
    <mergeCell ref="C8:E8"/>
    <mergeCell ref="B13:E13"/>
    <mergeCell ref="C14:E14"/>
    <mergeCell ref="B15:E15"/>
    <mergeCell ref="C16:E16"/>
    <mergeCell ref="C17:E17"/>
    <mergeCell ref="C18:E18"/>
  </mergeCells>
  <pageMargins left="0.70866141732283472" right="0.70866141732283472" top="0.74803149606299213" bottom="0.74803149606299213" header="0.31496062992125984" footer="0.31496062992125984"/>
  <pageSetup paperSize="9" scale="90" orientation="portrait" r:id="rId1"/>
  <headerFooter>
    <oddFooter>&amp;C&amp;P(&amp;N)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dimension ref="A4:G27"/>
  <sheetViews>
    <sheetView workbookViewId="0">
      <selection activeCell="L23" sqref="L23"/>
    </sheetView>
  </sheetViews>
  <sheetFormatPr defaultRowHeight="12.75"/>
  <cols>
    <col min="1" max="1" width="10.140625" bestFit="1" customWidth="1"/>
    <col min="3" max="3" width="22.42578125" customWidth="1"/>
  </cols>
  <sheetData>
    <row r="4" spans="1:7">
      <c r="A4" s="49" t="s">
        <v>83</v>
      </c>
    </row>
    <row r="6" spans="1:7">
      <c r="A6" s="49" t="s">
        <v>84</v>
      </c>
      <c r="C6" s="52">
        <v>2019</v>
      </c>
    </row>
    <row r="8" spans="1:7">
      <c r="A8" s="49" t="s">
        <v>87</v>
      </c>
      <c r="C8" s="57" t="s">
        <v>400</v>
      </c>
    </row>
    <row r="10" spans="1:7">
      <c r="A10" s="49" t="s">
        <v>85</v>
      </c>
      <c r="C10" s="54" t="s">
        <v>387</v>
      </c>
    </row>
    <row r="12" spans="1:7">
      <c r="A12" s="49" t="s">
        <v>171</v>
      </c>
      <c r="C12" s="346" t="s">
        <v>388</v>
      </c>
    </row>
    <row r="14" spans="1:7">
      <c r="A14" s="1"/>
      <c r="B14" s="1"/>
      <c r="C14" s="1"/>
      <c r="D14" s="1"/>
      <c r="E14" s="1"/>
      <c r="F14" s="1"/>
      <c r="G14" s="1"/>
    </row>
    <row r="15" spans="1:7">
      <c r="A15" s="1"/>
      <c r="B15" s="1"/>
      <c r="C15" s="1"/>
      <c r="D15" s="1"/>
      <c r="E15" s="1"/>
      <c r="F15" s="1"/>
      <c r="G15" s="1"/>
    </row>
    <row r="16" spans="1:7">
      <c r="A16" s="1"/>
      <c r="B16" s="1"/>
      <c r="C16" s="1"/>
      <c r="D16" s="1"/>
      <c r="E16" s="1"/>
      <c r="F16" s="1"/>
      <c r="G16" s="1"/>
    </row>
    <row r="17" spans="1:7">
      <c r="A17" s="1"/>
      <c r="B17" s="1"/>
      <c r="C17" s="1"/>
      <c r="D17" s="1"/>
      <c r="E17" s="1"/>
      <c r="F17" s="1"/>
      <c r="G17" s="1"/>
    </row>
    <row r="18" spans="1:7">
      <c r="A18" s="1"/>
      <c r="B18" s="1"/>
      <c r="C18" s="1"/>
      <c r="D18" s="1"/>
      <c r="E18" s="1"/>
      <c r="F18" s="1"/>
      <c r="G18" s="1"/>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243"/>
      <c r="B27" s="29"/>
      <c r="C27" s="29"/>
      <c r="D27" s="1"/>
      <c r="E27" s="1"/>
      <c r="F27" s="1"/>
      <c r="G27" s="1"/>
    </row>
  </sheetData>
  <customSheetViews>
    <customSheetView guid="{57543244-C279-4784-9046-AADA166AE6D2}" showPageBreaks="1" printArea="1">
      <selection activeCell="C23" sqref="C23"/>
      <pageMargins left="0.7" right="0.7" top="0.75" bottom="0.75" header="0.3" footer="0.3"/>
      <pageSetup paperSize="9" orientation="portrait" r:id="rId1"/>
    </customSheetView>
    <customSheetView guid="{AFB80F5F-D59D-4563-906B-EFB87107A041}">
      <selection activeCell="C23" sqref="C23"/>
      <pageMargins left="0.7" right="0.7" top="0.75" bottom="0.75" header="0.3" footer="0.3"/>
      <pageSetup paperSize="9" orientation="portrait" r:id="rId2"/>
    </customSheetView>
  </customSheetView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049" r:id="rId6" name="Button 1">
              <controlPr defaultSize="0" print="0" autoFill="0" autoPict="0" macro="[0]!Döljcellrubriker">
                <anchor moveWithCells="1">
                  <from>
                    <xdr:col>14</xdr:col>
                    <xdr:colOff>114300</xdr:colOff>
                    <xdr:row>8</xdr:row>
                    <xdr:rowOff>38100</xdr:rowOff>
                  </from>
                  <to>
                    <xdr:col>16</xdr:col>
                    <xdr:colOff>485775</xdr:colOff>
                    <xdr:row>11</xdr:row>
                    <xdr:rowOff>28575</xdr:rowOff>
                  </to>
                </anchor>
              </controlPr>
            </control>
          </mc:Choice>
        </mc:AlternateContent>
        <mc:AlternateContent xmlns:mc="http://schemas.openxmlformats.org/markup-compatibility/2006">
          <mc:Choice Requires="x14">
            <control shapeId="2050" r:id="rId7" name="Button 2">
              <controlPr defaultSize="0" print="0" autoFill="0" autoPict="0" macro="[0]!Visacellrubriker">
                <anchor moveWithCells="1">
                  <from>
                    <xdr:col>14</xdr:col>
                    <xdr:colOff>123825</xdr:colOff>
                    <xdr:row>11</xdr:row>
                    <xdr:rowOff>85725</xdr:rowOff>
                  </from>
                  <to>
                    <xdr:col>16</xdr:col>
                    <xdr:colOff>485775</xdr:colOff>
                    <xdr:row>14</xdr:row>
                    <xdr:rowOff>66675</xdr:rowOff>
                  </to>
                </anchor>
              </controlPr>
            </control>
          </mc:Choice>
        </mc:AlternateContent>
        <mc:AlternateContent xmlns:mc="http://schemas.openxmlformats.org/markup-compatibility/2006">
          <mc:Choice Requires="x14">
            <control shapeId="2051" r:id="rId8" name="Button 3">
              <controlPr defaultSize="0" print="0" autoFill="0" autoPict="0" macro="[0]!Visacellrubriker">
                <anchor moveWithCells="1">
                  <from>
                    <xdr:col>14</xdr:col>
                    <xdr:colOff>161925</xdr:colOff>
                    <xdr:row>15</xdr:row>
                    <xdr:rowOff>28575</xdr:rowOff>
                  </from>
                  <to>
                    <xdr:col>16</xdr:col>
                    <xdr:colOff>485775</xdr:colOff>
                    <xdr:row>18</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
  <sheetViews>
    <sheetView workbookViewId="0">
      <selection activeCell="H36" sqref="H36"/>
    </sheetView>
  </sheetViews>
  <sheetFormatPr defaultColWidth="9.140625" defaultRowHeight="12.75"/>
  <cols>
    <col min="1" max="16384" width="9.140625" style="525"/>
  </cols>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AM46"/>
  <sheetViews>
    <sheetView showGridLines="0" view="pageBreakPreview" topLeftCell="A4" zoomScale="130" zoomScaleNormal="100" zoomScaleSheetLayoutView="130" workbookViewId="0">
      <selection activeCell="O11" sqref="O11"/>
    </sheetView>
  </sheetViews>
  <sheetFormatPr defaultColWidth="9.140625" defaultRowHeight="12.75"/>
  <cols>
    <col min="1" max="1" width="21.42578125" style="4" customWidth="1"/>
    <col min="2" max="2" width="23.42578125" style="7" customWidth="1"/>
    <col min="3" max="3" width="17.85546875" style="6" customWidth="1"/>
    <col min="4" max="4" width="15.5703125" style="333" customWidth="1"/>
    <col min="5" max="5" width="22.85546875" style="333" customWidth="1"/>
    <col min="6" max="6" width="9.5703125" style="334" customWidth="1"/>
    <col min="7" max="7" width="5.42578125" style="2" customWidth="1"/>
    <col min="8" max="8" width="9.140625" style="725"/>
    <col min="9" max="9" width="8.5703125" style="2" customWidth="1"/>
    <col min="10" max="16384" width="9.140625" style="2"/>
  </cols>
  <sheetData>
    <row r="1" spans="1:39" s="21" customFormat="1" ht="22.5" customHeight="1">
      <c r="A1" s="20"/>
      <c r="B1" s="966"/>
      <c r="C1" s="966"/>
      <c r="D1" s="8"/>
      <c r="E1" s="9" t="s">
        <v>25</v>
      </c>
      <c r="F1" s="9"/>
      <c r="G1" s="877" t="s">
        <v>550</v>
      </c>
      <c r="H1" s="723"/>
    </row>
    <row r="2" spans="1:39" s="21" customFormat="1" ht="15">
      <c r="A2" s="20"/>
      <c r="B2" s="966"/>
      <c r="C2" s="966"/>
      <c r="D2" s="320"/>
      <c r="E2" s="320"/>
      <c r="F2" s="8"/>
      <c r="H2" s="723"/>
    </row>
    <row r="3" spans="1:39" s="21" customFormat="1" ht="12.6" customHeight="1">
      <c r="A3" s="20"/>
      <c r="B3" s="23"/>
      <c r="C3" s="23"/>
      <c r="D3" s="24"/>
      <c r="E3" s="545" t="s">
        <v>413</v>
      </c>
      <c r="F3" s="59"/>
      <c r="G3" s="315"/>
      <c r="H3" s="724"/>
    </row>
    <row r="4" spans="1:39" s="21" customFormat="1" ht="12.75" customHeight="1">
      <c r="A4" s="20"/>
      <c r="B4" s="319"/>
      <c r="C4" s="25"/>
      <c r="D4" s="53"/>
      <c r="E4" s="342"/>
      <c r="F4" s="342"/>
      <c r="H4" s="723"/>
    </row>
    <row r="5" spans="1:39" s="21" customFormat="1" ht="12.75" customHeight="1">
      <c r="A5" s="20"/>
      <c r="B5" s="25"/>
      <c r="C5" s="25"/>
      <c r="D5" s="342"/>
      <c r="E5" s="956" t="s">
        <v>62</v>
      </c>
      <c r="F5" s="956"/>
      <c r="H5" s="723"/>
    </row>
    <row r="6" spans="1:39" s="21" customFormat="1" ht="21.75" customHeight="1">
      <c r="A6" s="20"/>
      <c r="B6" s="25"/>
      <c r="C6" s="25"/>
      <c r="D6" s="24"/>
      <c r="E6" s="956"/>
      <c r="F6" s="956"/>
      <c r="H6" s="723"/>
    </row>
    <row r="7" spans="1:39" ht="22.5" customHeight="1">
      <c r="B7" s="967" t="s">
        <v>35</v>
      </c>
      <c r="C7" s="967"/>
      <c r="D7" s="967"/>
      <c r="E7" s="967"/>
      <c r="F7" s="967"/>
    </row>
    <row r="8" spans="1:39" s="12" customFormat="1" ht="16.5">
      <c r="A8" s="11"/>
      <c r="B8" s="968" t="s">
        <v>385</v>
      </c>
      <c r="C8" s="968"/>
      <c r="D8" s="968"/>
      <c r="E8" s="968"/>
      <c r="F8" s="968"/>
      <c r="G8" s="314"/>
      <c r="H8" s="723"/>
    </row>
    <row r="9" spans="1:39" s="12" customFormat="1" ht="13.5" customHeight="1">
      <c r="A9" s="11"/>
      <c r="B9" s="968" t="s">
        <v>386</v>
      </c>
      <c r="C9" s="968"/>
      <c r="D9" s="968"/>
      <c r="E9" s="968"/>
      <c r="F9" s="968"/>
      <c r="G9" s="6"/>
      <c r="H9" s="725"/>
    </row>
    <row r="10" spans="1:39" s="14" customFormat="1" ht="4.5" customHeight="1">
      <c r="A10" s="13"/>
      <c r="B10" s="960"/>
      <c r="C10" s="960"/>
      <c r="D10" s="960"/>
      <c r="E10" s="960"/>
      <c r="F10" s="960"/>
      <c r="G10" s="2"/>
      <c r="H10" s="725"/>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54" customHeight="1">
      <c r="B11" s="321"/>
      <c r="C11" s="322"/>
      <c r="D11" s="322"/>
      <c r="E11" s="322"/>
      <c r="F11" s="323"/>
      <c r="G11" s="6" t="s">
        <v>551</v>
      </c>
    </row>
    <row r="12" spans="1:39" ht="48" customHeight="1">
      <c r="B12" s="28"/>
      <c r="C12" s="273"/>
      <c r="D12" s="273"/>
      <c r="E12" s="273"/>
      <c r="F12" s="30"/>
    </row>
    <row r="13" spans="1:39" s="6" customFormat="1" ht="19.5" customHeight="1">
      <c r="A13" s="7"/>
      <c r="B13" s="969"/>
      <c r="C13" s="970"/>
      <c r="D13" s="970"/>
      <c r="E13" s="26"/>
      <c r="F13" s="27"/>
      <c r="G13" s="2"/>
      <c r="H13" s="725"/>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s="6" customFormat="1" ht="12.6" customHeight="1">
      <c r="A14" s="7"/>
      <c r="B14" s="961"/>
      <c r="C14" s="963"/>
      <c r="D14" s="26"/>
      <c r="E14" s="26"/>
      <c r="F14" s="27"/>
      <c r="G14" s="2"/>
      <c r="H14" s="725"/>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s="6" customFormat="1" ht="12.6" customHeight="1">
      <c r="A15" s="7"/>
      <c r="B15" s="964"/>
      <c r="C15" s="965"/>
      <c r="D15" s="26"/>
      <c r="E15" s="26"/>
      <c r="F15" s="27"/>
      <c r="G15" s="2"/>
      <c r="H15" s="72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s="6" customFormat="1" ht="12.6" customHeight="1">
      <c r="A16" s="7"/>
      <c r="B16" s="964"/>
      <c r="C16" s="965"/>
      <c r="D16" s="26"/>
      <c r="E16" s="26"/>
      <c r="F16" s="27"/>
      <c r="H16" s="725"/>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s="6" customFormat="1" ht="12.6" customHeight="1">
      <c r="A17" s="7"/>
      <c r="B17" s="964"/>
      <c r="C17" s="965"/>
      <c r="D17" s="26"/>
      <c r="E17" s="26"/>
      <c r="F17" s="27"/>
      <c r="G17" s="2"/>
      <c r="H17" s="725"/>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s="6" customFormat="1" ht="12.6" customHeight="1">
      <c r="A18" s="7"/>
      <c r="B18" s="961"/>
      <c r="C18" s="963"/>
      <c r="D18" s="26"/>
      <c r="E18" s="26"/>
      <c r="F18" s="27"/>
      <c r="G18" s="2"/>
      <c r="H18" s="725"/>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s="6" customFormat="1" ht="12.6" customHeight="1">
      <c r="B19" s="961"/>
      <c r="C19" s="963"/>
      <c r="D19" s="26"/>
      <c r="E19" s="26"/>
      <c r="F19" s="27"/>
      <c r="G19" s="2"/>
      <c r="H19" s="725"/>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s="6" customFormat="1" ht="12.6" customHeight="1">
      <c r="A20" s="7"/>
      <c r="B20" s="961"/>
      <c r="C20" s="963"/>
      <c r="D20" s="963"/>
      <c r="E20" s="26"/>
      <c r="F20" s="27"/>
      <c r="G20" s="2"/>
      <c r="H20" s="725"/>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s="6" customFormat="1" ht="12.6" customHeight="1">
      <c r="A21" s="7"/>
      <c r="B21" s="961"/>
      <c r="C21" s="962"/>
      <c r="D21" s="962"/>
      <c r="E21" s="26"/>
      <c r="F21" s="27"/>
      <c r="H21" s="726"/>
      <c r="I21" s="257"/>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s="6" customFormat="1" ht="12.6" customHeight="1">
      <c r="A22" s="7"/>
      <c r="B22" s="961"/>
      <c r="C22" s="962"/>
      <c r="D22" s="962"/>
      <c r="E22" s="962"/>
      <c r="F22" s="27"/>
      <c r="H22" s="725"/>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s="6" customFormat="1" ht="12.6" customHeight="1">
      <c r="A23" s="7"/>
      <c r="B23" s="961"/>
      <c r="C23" s="963"/>
      <c r="D23" s="26"/>
      <c r="E23" s="26"/>
      <c r="F23" s="27"/>
      <c r="H23" s="725"/>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s="6" customFormat="1" ht="54" customHeight="1">
      <c r="A24" s="524"/>
      <c r="B24" s="28"/>
      <c r="C24" s="273"/>
      <c r="D24" s="273"/>
      <c r="E24" s="273"/>
      <c r="F24" s="30"/>
      <c r="H24" s="971"/>
      <c r="I24" s="972"/>
      <c r="J24" s="972"/>
      <c r="K24" s="972"/>
      <c r="L24" s="972"/>
      <c r="M24" s="972"/>
      <c r="N24" s="972"/>
      <c r="O24" s="972"/>
      <c r="P24" s="972"/>
      <c r="Q24" s="2"/>
      <c r="R24" s="2"/>
      <c r="S24" s="2"/>
      <c r="T24" s="2"/>
      <c r="U24" s="2"/>
      <c r="V24" s="2"/>
      <c r="W24" s="2"/>
      <c r="X24" s="2"/>
      <c r="Y24" s="2"/>
      <c r="Z24" s="2"/>
      <c r="AA24" s="2"/>
      <c r="AB24" s="2"/>
      <c r="AC24" s="2"/>
      <c r="AD24" s="2"/>
      <c r="AE24" s="2"/>
      <c r="AF24" s="2"/>
      <c r="AG24" s="2"/>
      <c r="AH24" s="2"/>
      <c r="AI24" s="2"/>
      <c r="AJ24" s="2"/>
      <c r="AK24" s="2"/>
      <c r="AL24" s="2"/>
      <c r="AM24" s="2"/>
    </row>
    <row r="25" spans="1:39" s="6" customFormat="1" ht="55.5" customHeight="1">
      <c r="A25" s="7"/>
      <c r="B25" s="28"/>
      <c r="C25" s="273"/>
      <c r="D25" s="273"/>
      <c r="E25" s="273"/>
      <c r="F25" s="30"/>
      <c r="H25" s="971"/>
      <c r="I25" s="972"/>
      <c r="J25" s="972"/>
      <c r="K25" s="972"/>
      <c r="L25" s="972"/>
      <c r="M25" s="972"/>
      <c r="N25" s="972"/>
      <c r="O25" s="972"/>
      <c r="P25" s="972"/>
      <c r="Q25" s="2"/>
      <c r="R25" s="2"/>
      <c r="S25" s="2"/>
      <c r="T25" s="2"/>
      <c r="U25" s="2"/>
      <c r="V25" s="2"/>
      <c r="W25" s="2"/>
      <c r="X25" s="2"/>
      <c r="Y25" s="2"/>
      <c r="Z25" s="2"/>
      <c r="AA25" s="2"/>
      <c r="AB25" s="2"/>
      <c r="AC25" s="2"/>
      <c r="AD25" s="2"/>
      <c r="AE25" s="2"/>
      <c r="AF25" s="2"/>
      <c r="AG25" s="2"/>
      <c r="AH25" s="2"/>
      <c r="AI25" s="2"/>
      <c r="AJ25" s="2"/>
      <c r="AK25" s="2"/>
      <c r="AL25" s="2"/>
      <c r="AM25" s="2"/>
    </row>
    <row r="26" spans="1:39" ht="28.5" customHeight="1">
      <c r="B26" s="28"/>
      <c r="C26" s="273"/>
      <c r="D26" s="273"/>
      <c r="E26" s="273"/>
      <c r="F26" s="30"/>
    </row>
    <row r="27" spans="1:39" ht="18" customHeight="1">
      <c r="B27" s="28"/>
      <c r="C27" s="273"/>
      <c r="D27" s="273"/>
      <c r="E27" s="273"/>
      <c r="F27" s="30"/>
    </row>
    <row r="28" spans="1:39" ht="18" customHeight="1">
      <c r="B28" s="28"/>
      <c r="C28" s="273"/>
      <c r="D28" s="273"/>
      <c r="E28" s="273"/>
      <c r="F28" s="30"/>
      <c r="H28" s="727"/>
    </row>
    <row r="29" spans="1:39" ht="12.75" customHeight="1">
      <c r="B29" s="31"/>
      <c r="C29" s="26"/>
      <c r="D29" s="26"/>
      <c r="E29" s="26"/>
      <c r="F29" s="27"/>
    </row>
    <row r="30" spans="1:39" ht="21.75" customHeight="1">
      <c r="B30" s="32"/>
      <c r="C30" s="33"/>
      <c r="D30" s="33"/>
      <c r="E30" s="33"/>
      <c r="F30" s="34"/>
      <c r="H30" s="727"/>
    </row>
    <row r="31" spans="1:39" ht="15">
      <c r="B31" s="35"/>
      <c r="C31" s="36"/>
      <c r="D31" s="24"/>
      <c r="E31" s="24"/>
      <c r="F31" s="37"/>
    </row>
    <row r="32" spans="1:39" ht="48.75" customHeight="1">
      <c r="B32" s="28"/>
      <c r="C32" s="273"/>
      <c r="D32" s="273"/>
      <c r="E32" s="273"/>
      <c r="F32" s="30"/>
    </row>
    <row r="33" spans="2:7" ht="3.75" customHeight="1">
      <c r="B33" s="38"/>
      <c r="C33" s="39"/>
      <c r="D33" s="40"/>
      <c r="E33" s="41"/>
      <c r="F33" s="41"/>
    </row>
    <row r="34" spans="2:7" ht="3.75" customHeight="1">
      <c r="B34" s="42"/>
      <c r="C34" s="43"/>
      <c r="D34" s="24"/>
      <c r="E34" s="37"/>
      <c r="F34" s="37"/>
    </row>
    <row r="35" spans="2:7">
      <c r="B35" s="28"/>
      <c r="C35" s="273"/>
      <c r="D35" s="324"/>
      <c r="E35" s="325"/>
      <c r="F35" s="325"/>
    </row>
    <row r="36" spans="2:7">
      <c r="B36" s="28"/>
      <c r="C36" s="273"/>
      <c r="D36" s="324"/>
      <c r="E36" s="325"/>
      <c r="F36" s="325"/>
    </row>
    <row r="37" spans="2:7">
      <c r="B37" s="28"/>
      <c r="C37" s="273"/>
      <c r="D37" s="324"/>
      <c r="E37" s="325"/>
      <c r="F37" s="325"/>
      <c r="G37" s="6"/>
    </row>
    <row r="38" spans="2:7">
      <c r="B38" s="28"/>
      <c r="C38" s="273"/>
      <c r="D38" s="324"/>
      <c r="E38" s="325"/>
      <c r="F38" s="325"/>
      <c r="G38" s="6"/>
    </row>
    <row r="39" spans="2:7" ht="7.35" customHeight="1">
      <c r="B39" s="28"/>
      <c r="C39" s="273"/>
      <c r="D39" s="324"/>
      <c r="E39" s="325"/>
      <c r="F39" s="325"/>
      <c r="G39" s="6"/>
    </row>
    <row r="40" spans="2:7" ht="21" customHeight="1">
      <c r="B40" s="326"/>
      <c r="C40" s="327"/>
      <c r="D40" s="320"/>
      <c r="E40" s="328"/>
      <c r="F40" s="328"/>
      <c r="G40" s="899"/>
    </row>
    <row r="41" spans="2:7">
      <c r="B41" s="326"/>
      <c r="C41" s="327"/>
      <c r="D41" s="320"/>
      <c r="E41" s="328"/>
      <c r="F41" s="328"/>
      <c r="G41" s="6"/>
    </row>
    <row r="42" spans="2:7">
      <c r="B42" s="326"/>
      <c r="C42" s="327"/>
      <c r="D42" s="320"/>
      <c r="E42" s="320"/>
      <c r="F42" s="328"/>
    </row>
    <row r="43" spans="2:7">
      <c r="B43" s="326"/>
      <c r="C43" s="327"/>
      <c r="D43" s="320"/>
      <c r="E43" s="320"/>
      <c r="F43" s="328"/>
      <c r="G43" s="928"/>
    </row>
    <row r="44" spans="2:7">
      <c r="B44" s="326"/>
      <c r="C44" s="327"/>
      <c r="D44" s="320"/>
      <c r="E44" s="320"/>
      <c r="F44" s="328"/>
    </row>
    <row r="45" spans="2:7">
      <c r="B45" s="329"/>
      <c r="C45" s="330"/>
      <c r="D45" s="331"/>
      <c r="E45" s="331"/>
      <c r="F45" s="332"/>
    </row>
    <row r="46" spans="2:7">
      <c r="B46" s="327"/>
      <c r="C46" s="327"/>
      <c r="D46" s="320"/>
      <c r="E46" s="320"/>
      <c r="F46" s="320"/>
      <c r="G46" s="4"/>
    </row>
  </sheetData>
  <customSheetViews>
    <customSheetView guid="{57543244-C279-4784-9046-AADA166AE6D2}" scale="150" showPageBreaks="1" showGridLines="0" printArea="1" topLeftCell="A16">
      <selection activeCell="B8" sqref="B8:F8"/>
      <pageMargins left="0.67" right="0.66" top="0.55000000000000004" bottom="0.33" header="0.24" footer="0.18"/>
      <pageSetup paperSize="9" scale="97" fitToWidth="0" fitToHeight="0" orientation="portrait" r:id="rId1"/>
      <headerFooter alignWithMargins="0"/>
    </customSheetView>
    <customSheetView guid="{AFB80F5F-D59D-4563-906B-EFB87107A041}" scale="150" showGridLines="0" topLeftCell="A16">
      <selection activeCell="B8" sqref="B8:F8"/>
      <pageMargins left="0.67" right="0.66" top="0.55000000000000004" bottom="0.33" header="0.24" footer="0.18"/>
      <pageSetup paperSize="9" scale="97" fitToWidth="0" fitToHeight="0" orientation="portrait" r:id="rId2"/>
      <headerFooter alignWithMargins="0"/>
    </customSheetView>
  </customSheetViews>
  <mergeCells count="19">
    <mergeCell ref="H25:P25"/>
    <mergeCell ref="H24:P24"/>
    <mergeCell ref="B1:C2"/>
    <mergeCell ref="B7:F7"/>
    <mergeCell ref="B8:F8"/>
    <mergeCell ref="B9:F9"/>
    <mergeCell ref="E5:F6"/>
    <mergeCell ref="B10:F10"/>
    <mergeCell ref="B21:D21"/>
    <mergeCell ref="B22:E22"/>
    <mergeCell ref="B14:C14"/>
    <mergeCell ref="B23:C23"/>
    <mergeCell ref="B20:D20"/>
    <mergeCell ref="B15:C15"/>
    <mergeCell ref="B16:C16"/>
    <mergeCell ref="B17:C17"/>
    <mergeCell ref="B18:C18"/>
    <mergeCell ref="B13:D13"/>
    <mergeCell ref="B19:C19"/>
  </mergeCells>
  <phoneticPr fontId="47" type="noConversion"/>
  <pageMargins left="0.67" right="0.66" top="0.55000000000000004" bottom="0.33" header="0.24" footer="0.18"/>
  <pageSetup paperSize="9" scale="97" fitToWidth="0" fitToHeight="0"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pageSetUpPr fitToPage="1"/>
  </sheetPr>
  <dimension ref="A1:AS140"/>
  <sheetViews>
    <sheetView showGridLines="0" view="pageBreakPreview" zoomScaleNormal="100" zoomScaleSheetLayoutView="100" workbookViewId="0">
      <pane ySplit="2" topLeftCell="A3" activePane="bottomLeft" state="frozen"/>
      <selection activeCell="B24" sqref="B24"/>
      <selection pane="bottomLeft" activeCell="F103" sqref="F103"/>
    </sheetView>
  </sheetViews>
  <sheetFormatPr defaultColWidth="9.140625" defaultRowHeight="12.75"/>
  <cols>
    <col min="1" max="1" width="2.85546875" style="85" customWidth="1"/>
    <col min="2" max="2" width="78.28515625" style="85" customWidth="1"/>
    <col min="3" max="4" width="8.5703125" style="111" customWidth="1"/>
    <col min="5" max="5" width="14.7109375" style="111" customWidth="1"/>
    <col min="6" max="6" width="21.85546875" style="716" customWidth="1"/>
    <col min="7" max="7" width="53.85546875" style="85" customWidth="1"/>
    <col min="8" max="16384" width="9.140625" style="85"/>
  </cols>
  <sheetData>
    <row r="1" spans="1:45" s="81" customFormat="1" ht="58.5" customHeight="1" thickBot="1">
      <c r="A1" s="192"/>
      <c r="B1" s="80"/>
      <c r="C1" s="82"/>
      <c r="D1" s="83"/>
      <c r="E1" s="83"/>
      <c r="F1" s="877" t="s">
        <v>550</v>
      </c>
      <c r="G1" s="275"/>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row>
    <row r="2" spans="1:45" s="81" customFormat="1" ht="18" customHeight="1" thickBot="1">
      <c r="A2" s="192"/>
      <c r="B2" s="1005" t="s">
        <v>16</v>
      </c>
      <c r="C2" s="1006"/>
      <c r="D2" s="1006"/>
      <c r="E2" s="1007"/>
      <c r="F2" s="728"/>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row>
    <row r="3" spans="1:45" ht="48.75" customHeight="1">
      <c r="A3" s="192"/>
      <c r="B3" s="1008" t="s">
        <v>35</v>
      </c>
      <c r="C3" s="1008"/>
      <c r="D3" s="1008"/>
      <c r="E3" s="1008"/>
      <c r="F3" s="729"/>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row>
    <row r="4" spans="1:45" ht="15" customHeight="1">
      <c r="A4" s="192"/>
      <c r="B4" s="1009" t="s">
        <v>36</v>
      </c>
      <c r="C4" s="1009"/>
      <c r="D4" s="1009"/>
      <c r="E4" s="1009"/>
      <c r="F4" s="730"/>
    </row>
    <row r="5" spans="1:45" ht="15.75">
      <c r="A5" s="192"/>
      <c r="B5" s="1009" t="str">
        <f>CONCATENATE("Svensk telekommarknad ",'Om detta formulär'!C6)</f>
        <v>Svensk telekommarknad 2019</v>
      </c>
      <c r="C5" s="1009"/>
      <c r="D5" s="1009"/>
      <c r="E5" s="1009"/>
      <c r="F5" s="730"/>
    </row>
    <row r="6" spans="1:45" ht="15.75">
      <c r="A6" s="566"/>
      <c r="B6" s="1009" t="str">
        <f>CONCATENATE("Officiell statistik om televerksamhet ",'Om detta formulär'!C6)</f>
        <v>Officiell statistik om televerksamhet 2019</v>
      </c>
      <c r="C6" s="1009"/>
      <c r="D6" s="1009"/>
      <c r="E6" s="1009"/>
      <c r="F6" s="730"/>
    </row>
    <row r="7" spans="1:45" ht="15.75">
      <c r="A7" s="192"/>
      <c r="B7" s="1009" t="s">
        <v>43</v>
      </c>
      <c r="C7" s="1009"/>
      <c r="D7" s="1009"/>
      <c r="E7" s="1009"/>
      <c r="F7" s="730"/>
    </row>
    <row r="8" spans="1:45" ht="15.75">
      <c r="A8" s="192"/>
      <c r="B8" s="859"/>
      <c r="C8" s="859"/>
      <c r="D8" s="859"/>
      <c r="E8" s="859"/>
      <c r="F8" s="730"/>
    </row>
    <row r="9" spans="1:45" ht="19.5" customHeight="1">
      <c r="A9" s="192"/>
      <c r="B9" s="1009"/>
      <c r="C9" s="1009"/>
      <c r="D9" s="1009"/>
      <c r="E9" s="1009"/>
      <c r="F9" s="1054"/>
      <c r="G9" s="1055"/>
      <c r="H9" s="1055"/>
      <c r="I9" s="1055"/>
    </row>
    <row r="10" spans="1:45" ht="15.75">
      <c r="A10" s="192"/>
      <c r="B10" s="87" t="s">
        <v>155</v>
      </c>
      <c r="C10" s="88"/>
      <c r="D10" s="89"/>
      <c r="E10" s="90"/>
      <c r="F10" s="709"/>
      <c r="G10" s="112"/>
    </row>
    <row r="11" spans="1:45" ht="36" customHeight="1">
      <c r="A11" s="192"/>
      <c r="B11" s="973" t="s">
        <v>418</v>
      </c>
      <c r="C11" s="974"/>
      <c r="D11" s="974"/>
      <c r="E11" s="974"/>
      <c r="F11" s="709"/>
      <c r="G11" s="112"/>
    </row>
    <row r="12" spans="1:45" ht="26.25" customHeight="1">
      <c r="A12" s="192"/>
      <c r="B12" s="1013" t="s">
        <v>37</v>
      </c>
      <c r="C12" s="1014"/>
      <c r="D12" s="1014"/>
      <c r="E12" s="1015"/>
      <c r="F12" s="731"/>
    </row>
    <row r="13" spans="1:45" ht="25.5" customHeight="1">
      <c r="A13" s="192"/>
      <c r="B13" s="1010" t="s">
        <v>38</v>
      </c>
      <c r="C13" s="1011"/>
      <c r="D13" s="1011"/>
      <c r="E13" s="1012"/>
      <c r="F13" s="731"/>
    </row>
    <row r="14" spans="1:45" ht="25.5" customHeight="1">
      <c r="A14" s="192"/>
      <c r="B14" s="917"/>
      <c r="C14" s="918"/>
      <c r="D14" s="918"/>
      <c r="E14" s="918"/>
      <c r="F14" s="731"/>
    </row>
    <row r="15" spans="1:45" s="86" customFormat="1" ht="22.5" customHeight="1">
      <c r="A15" s="192"/>
      <c r="B15" s="973" t="s">
        <v>461</v>
      </c>
      <c r="C15" s="974"/>
      <c r="D15" s="974"/>
      <c r="E15" s="974"/>
      <c r="F15" s="275" t="s">
        <v>455</v>
      </c>
    </row>
    <row r="16" spans="1:45" ht="15">
      <c r="A16" s="192"/>
      <c r="B16" s="897" t="s">
        <v>452</v>
      </c>
      <c r="C16" s="1058"/>
      <c r="D16" s="1058"/>
      <c r="E16" s="1059"/>
      <c r="F16" s="731"/>
    </row>
    <row r="17" spans="1:7" ht="15">
      <c r="A17" s="192"/>
      <c r="B17" s="895" t="s">
        <v>453</v>
      </c>
      <c r="C17" s="975"/>
      <c r="D17" s="975"/>
      <c r="E17" s="976"/>
      <c r="F17" s="731"/>
    </row>
    <row r="18" spans="1:7" ht="15">
      <c r="A18" s="192"/>
      <c r="B18" s="914" t="s">
        <v>454</v>
      </c>
      <c r="C18" s="1056"/>
      <c r="D18" s="1056"/>
      <c r="E18" s="1057"/>
      <c r="F18" s="731"/>
    </row>
    <row r="19" spans="1:7" s="86" customFormat="1" ht="15.75">
      <c r="A19" s="192"/>
      <c r="B19" s="1063"/>
      <c r="C19" s="1064"/>
      <c r="D19" s="1064"/>
      <c r="E19" s="1065"/>
      <c r="F19" s="732"/>
      <c r="G19" s="382"/>
    </row>
    <row r="20" spans="1:7" s="896" customFormat="1" ht="31.5" customHeight="1">
      <c r="A20" s="192"/>
      <c r="B20" s="973" t="s">
        <v>464</v>
      </c>
      <c r="C20" s="974"/>
      <c r="D20" s="974"/>
      <c r="E20" s="974"/>
      <c r="F20" s="929" t="s">
        <v>457</v>
      </c>
      <c r="G20" s="275"/>
    </row>
    <row r="21" spans="1:7" s="896" customFormat="1" ht="15.75">
      <c r="A21" s="192"/>
      <c r="B21" s="91" t="s">
        <v>451</v>
      </c>
      <c r="C21" s="975"/>
      <c r="D21" s="975"/>
      <c r="E21" s="976"/>
      <c r="F21" s="915"/>
      <c r="G21" s="275"/>
    </row>
    <row r="22" spans="1:7" s="896" customFormat="1" ht="15.75">
      <c r="A22" s="192"/>
      <c r="B22" s="91" t="s">
        <v>445</v>
      </c>
      <c r="C22" s="975"/>
      <c r="D22" s="975"/>
      <c r="E22" s="976"/>
      <c r="F22" s="915"/>
      <c r="G22" s="275"/>
    </row>
    <row r="23" spans="1:7" s="896" customFormat="1" ht="15.75">
      <c r="A23" s="192"/>
      <c r="B23" s="91" t="s">
        <v>446</v>
      </c>
      <c r="C23" s="975"/>
      <c r="D23" s="975"/>
      <c r="E23" s="976"/>
      <c r="F23" s="915"/>
      <c r="G23" s="275"/>
    </row>
    <row r="24" spans="1:7" s="896" customFormat="1" ht="15.75">
      <c r="A24" s="192"/>
      <c r="B24" s="91" t="s">
        <v>447</v>
      </c>
      <c r="C24" s="975"/>
      <c r="D24" s="975"/>
      <c r="E24" s="976"/>
      <c r="F24" s="915"/>
      <c r="G24" s="275"/>
    </row>
    <row r="25" spans="1:7" s="896" customFormat="1" ht="15.75">
      <c r="A25" s="192"/>
      <c r="B25" s="91" t="s">
        <v>448</v>
      </c>
      <c r="C25" s="975"/>
      <c r="D25" s="975"/>
      <c r="E25" s="976"/>
      <c r="F25" s="915"/>
      <c r="G25" s="275"/>
    </row>
    <row r="26" spans="1:7" s="896" customFormat="1" ht="15.75">
      <c r="A26" s="192"/>
      <c r="B26" s="91" t="s">
        <v>449</v>
      </c>
      <c r="C26" s="975"/>
      <c r="D26" s="975"/>
      <c r="E26" s="976"/>
      <c r="F26" s="915"/>
      <c r="G26" s="275"/>
    </row>
    <row r="27" spans="1:7" s="896" customFormat="1" ht="15.75">
      <c r="A27" s="192"/>
      <c r="B27" s="91" t="s">
        <v>548</v>
      </c>
      <c r="C27" s="975"/>
      <c r="D27" s="975"/>
      <c r="E27" s="976"/>
      <c r="F27" s="915"/>
      <c r="G27" s="275"/>
    </row>
    <row r="28" spans="1:7" s="896" customFormat="1" ht="15.75">
      <c r="A28" s="192"/>
      <c r="B28" s="91" t="s">
        <v>460</v>
      </c>
      <c r="C28" s="975"/>
      <c r="D28" s="975"/>
      <c r="E28" s="976"/>
      <c r="F28" s="915"/>
      <c r="G28" s="275"/>
    </row>
    <row r="29" spans="1:7" s="896" customFormat="1" ht="15.75">
      <c r="A29" s="192"/>
      <c r="B29" s="916" t="s">
        <v>450</v>
      </c>
      <c r="C29" s="1056"/>
      <c r="D29" s="1056"/>
      <c r="E29" s="1057"/>
      <c r="F29" s="915"/>
      <c r="G29" s="275"/>
    </row>
    <row r="30" spans="1:7" s="86" customFormat="1" ht="15.75">
      <c r="A30" s="192"/>
      <c r="B30" s="92"/>
      <c r="C30" s="92"/>
      <c r="D30" s="92"/>
      <c r="E30" s="92"/>
      <c r="F30" s="733"/>
      <c r="G30" s="382"/>
    </row>
    <row r="31" spans="1:7" s="258" customFormat="1" ht="46.5" customHeight="1">
      <c r="A31" s="192"/>
      <c r="B31" s="1019" t="s">
        <v>439</v>
      </c>
      <c r="C31" s="1019"/>
      <c r="D31" s="1019"/>
      <c r="E31" s="1019"/>
      <c r="F31" s="259"/>
      <c r="G31" s="382"/>
    </row>
    <row r="32" spans="1:7" s="258" customFormat="1" ht="63" customHeight="1">
      <c r="A32" s="192"/>
      <c r="B32" s="1066"/>
      <c r="C32" s="1067"/>
      <c r="D32" s="1067"/>
      <c r="E32" s="1068"/>
      <c r="F32" s="734" t="s">
        <v>470</v>
      </c>
      <c r="G32" s="382"/>
    </row>
    <row r="33" spans="1:7" s="258" customFormat="1" ht="19.5" customHeight="1">
      <c r="A33" s="192"/>
      <c r="B33" s="1020" t="s">
        <v>424</v>
      </c>
      <c r="C33" s="1021"/>
      <c r="D33" s="1021"/>
      <c r="E33" s="1021"/>
      <c r="F33" s="710"/>
      <c r="G33" s="382"/>
    </row>
    <row r="34" spans="1:7" s="110" customFormat="1" ht="39.75" customHeight="1">
      <c r="A34" s="192"/>
      <c r="B34" s="1022"/>
      <c r="C34" s="1022"/>
      <c r="D34" s="1022"/>
      <c r="E34" s="1022"/>
      <c r="F34" s="710" t="s">
        <v>471</v>
      </c>
      <c r="G34" s="476"/>
    </row>
    <row r="35" spans="1:7" ht="63" customHeight="1">
      <c r="A35" s="192"/>
      <c r="B35" s="1023"/>
      <c r="C35" s="1024"/>
      <c r="D35" s="1024"/>
      <c r="E35" s="1025"/>
      <c r="F35" s="735"/>
      <c r="G35" s="316"/>
    </row>
    <row r="36" spans="1:7" ht="63" customHeight="1">
      <c r="A36" s="192"/>
      <c r="B36" s="1001" t="s">
        <v>389</v>
      </c>
      <c r="C36" s="1001"/>
      <c r="D36" s="1001"/>
      <c r="E36" s="1001"/>
      <c r="F36" s="736"/>
      <c r="G36" s="476"/>
    </row>
    <row r="37" spans="1:7" ht="63" customHeight="1">
      <c r="A37" s="192"/>
      <c r="B37" s="1002"/>
      <c r="C37" s="1003"/>
      <c r="D37" s="1003"/>
      <c r="E37" s="1004"/>
      <c r="F37" s="737"/>
      <c r="G37" s="112"/>
    </row>
    <row r="38" spans="1:7" s="93" customFormat="1" ht="31.5">
      <c r="A38" s="567"/>
      <c r="B38" s="94" t="str">
        <f>CONCATENATE("Inom vilken/vilka delverksamheter hade ni verksamhet i Sverige under ",'Om detta formulär'!C6,"?")</f>
        <v>Inom vilken/vilka delverksamheter hade ni verksamhet i Sverige under 2019?</v>
      </c>
      <c r="C38" s="95"/>
      <c r="D38" s="96" t="s">
        <v>26</v>
      </c>
      <c r="E38" s="97"/>
      <c r="F38" s="97"/>
      <c r="G38" s="919"/>
    </row>
    <row r="39" spans="1:7" s="86" customFormat="1" ht="15.75">
      <c r="A39" s="192"/>
      <c r="B39" s="98" t="s">
        <v>73</v>
      </c>
      <c r="C39" s="99"/>
      <c r="D39" s="100"/>
      <c r="E39" s="529"/>
      <c r="F39" s="711"/>
      <c r="G39" s="358"/>
    </row>
    <row r="40" spans="1:7" s="86" customFormat="1" ht="15.75">
      <c r="A40" s="192"/>
      <c r="B40" s="101" t="s">
        <v>74</v>
      </c>
      <c r="C40" s="102"/>
      <c r="D40" s="103"/>
      <c r="E40" s="529"/>
      <c r="F40" s="711"/>
      <c r="G40" s="382"/>
    </row>
    <row r="41" spans="1:7" s="86" customFormat="1" ht="15.75">
      <c r="A41" s="192"/>
      <c r="B41" s="98" t="s">
        <v>75</v>
      </c>
      <c r="C41" s="99"/>
      <c r="D41" s="100"/>
      <c r="E41" s="529"/>
      <c r="F41" s="711"/>
      <c r="G41" s="382"/>
    </row>
    <row r="42" spans="1:7" s="86" customFormat="1" ht="15.75">
      <c r="A42" s="192"/>
      <c r="B42" s="101" t="s">
        <v>76</v>
      </c>
      <c r="C42" s="102"/>
      <c r="D42" s="103"/>
      <c r="E42" s="529"/>
      <c r="F42" s="711"/>
      <c r="G42" s="382"/>
    </row>
    <row r="43" spans="1:7" s="86" customFormat="1" ht="15.75">
      <c r="A43" s="192"/>
      <c r="B43" s="98" t="s">
        <v>78</v>
      </c>
      <c r="C43" s="99"/>
      <c r="D43" s="100"/>
      <c r="E43" s="529"/>
      <c r="F43" s="711"/>
      <c r="G43" s="104"/>
    </row>
    <row r="44" spans="1:7" s="86" customFormat="1" ht="15.75">
      <c r="A44" s="192"/>
      <c r="B44" s="101" t="s">
        <v>79</v>
      </c>
      <c r="C44" s="102"/>
      <c r="D44" s="103"/>
      <c r="E44" s="529"/>
      <c r="F44" s="711"/>
      <c r="G44" s="104"/>
    </row>
    <row r="45" spans="1:7" s="86" customFormat="1" ht="15.75">
      <c r="A45" s="192"/>
      <c r="B45" s="98" t="s">
        <v>80</v>
      </c>
      <c r="C45" s="99"/>
      <c r="D45" s="100"/>
      <c r="E45" s="529"/>
      <c r="F45" s="711"/>
      <c r="G45" s="104"/>
    </row>
    <row r="46" spans="1:7" s="781" customFormat="1" ht="15.75">
      <c r="A46" s="192"/>
      <c r="B46" s="101" t="s">
        <v>374</v>
      </c>
      <c r="C46" s="102"/>
      <c r="D46" s="103"/>
      <c r="E46" s="529"/>
      <c r="F46" s="711"/>
      <c r="G46" s="104"/>
    </row>
    <row r="47" spans="1:7" s="86" customFormat="1" ht="15.75">
      <c r="A47" s="192"/>
      <c r="B47" s="98" t="s">
        <v>365</v>
      </c>
      <c r="C47" s="99"/>
      <c r="D47" s="100"/>
      <c r="E47" s="529"/>
      <c r="F47" s="712"/>
      <c r="G47" s="193"/>
    </row>
    <row r="48" spans="1:7" s="86" customFormat="1" ht="15.75">
      <c r="A48" s="192"/>
      <c r="B48" s="101" t="s">
        <v>77</v>
      </c>
      <c r="C48" s="102"/>
      <c r="D48" s="103"/>
      <c r="E48" s="529"/>
      <c r="F48" s="712"/>
      <c r="G48" s="275"/>
    </row>
    <row r="49" spans="1:8" s="86" customFormat="1" ht="17.25" customHeight="1">
      <c r="A49" s="192"/>
      <c r="B49" s="98" t="s">
        <v>276</v>
      </c>
      <c r="C49" s="99"/>
      <c r="D49" s="100"/>
      <c r="E49" s="97"/>
      <c r="F49" s="743"/>
      <c r="G49" s="275"/>
    </row>
    <row r="50" spans="1:8" s="783" customFormat="1" ht="17.25" customHeight="1">
      <c r="A50" s="192"/>
      <c r="B50" s="1029"/>
      <c r="C50" s="1029"/>
      <c r="D50" s="1029"/>
      <c r="E50" s="1029"/>
      <c r="F50" s="712"/>
      <c r="G50" s="275"/>
    </row>
    <row r="51" spans="1:8" s="104" customFormat="1" ht="15.75">
      <c r="A51" s="192"/>
      <c r="B51" s="105"/>
      <c r="C51" s="106"/>
      <c r="D51" s="107"/>
      <c r="E51" s="108"/>
      <c r="F51" s="738"/>
    </row>
    <row r="52" spans="1:8" s="86" customFormat="1" ht="101.1" customHeight="1">
      <c r="A52" s="192"/>
      <c r="B52" s="1060" t="s">
        <v>306</v>
      </c>
      <c r="C52" s="1061"/>
      <c r="D52" s="1061"/>
      <c r="E52" s="1061"/>
      <c r="F52" s="713"/>
      <c r="G52" s="382"/>
    </row>
    <row r="53" spans="1:8" s="86" customFormat="1" ht="15" customHeight="1" thickBot="1">
      <c r="A53" s="192"/>
      <c r="B53" s="1029"/>
      <c r="C53" s="1029"/>
      <c r="D53" s="1029"/>
      <c r="E53" s="1029"/>
      <c r="F53" s="743"/>
      <c r="G53" s="358"/>
    </row>
    <row r="54" spans="1:8" s="104" customFormat="1" ht="15" customHeight="1" thickBot="1">
      <c r="A54" s="192"/>
      <c r="B54" s="1062" t="s">
        <v>16</v>
      </c>
      <c r="C54" s="1062"/>
      <c r="D54" s="1062"/>
      <c r="E54" s="1062"/>
      <c r="F54" s="714"/>
      <c r="G54" s="193"/>
    </row>
    <row r="55" spans="1:8" ht="52.5" customHeight="1">
      <c r="A55" s="192"/>
      <c r="B55" s="992" t="str">
        <f>CONCATENATE("Fråga 1: Rörelsens totala intäkter [1] gällande telekomverksamhet i Sverige [tusentals kronor] under ",'Om detta formulär'!C6,". I intäkterna på denna fråga ingår även grossisttjänster och hårdvara. "                                                           )</f>
        <v xml:space="preserve">Fråga 1: Rörelsens totala intäkter [1] gällande telekomverksamhet i Sverige [tusentals kronor] under 2019. I intäkterna på denna fråga ingår även grossisttjänster och hårdvara. </v>
      </c>
      <c r="C55" s="993"/>
      <c r="D55" s="993"/>
      <c r="E55" s="994"/>
      <c r="F55" s="813"/>
      <c r="G55" s="112"/>
    </row>
    <row r="56" spans="1:8" ht="18.75" customHeight="1">
      <c r="A56" s="192"/>
      <c r="B56" s="534"/>
      <c r="C56" s="241"/>
      <c r="D56" s="242" t="s">
        <v>20</v>
      </c>
      <c r="E56" s="48"/>
      <c r="F56" s="711"/>
      <c r="G56" s="590"/>
    </row>
    <row r="57" spans="1:8" ht="30.75" customHeight="1">
      <c r="A57" s="192"/>
      <c r="B57" s="477" t="s">
        <v>251</v>
      </c>
      <c r="C57" s="1016" t="s">
        <v>25</v>
      </c>
      <c r="D57" s="1017"/>
      <c r="E57" s="1018"/>
      <c r="F57" s="777"/>
      <c r="G57" s="539"/>
      <c r="H57" s="316"/>
    </row>
    <row r="58" spans="1:8" ht="17.100000000000001" customHeight="1">
      <c r="A58" s="192"/>
      <c r="B58" s="502" t="s">
        <v>240</v>
      </c>
      <c r="C58" s="986" t="s">
        <v>25</v>
      </c>
      <c r="D58" s="987"/>
      <c r="E58" s="988"/>
      <c r="F58" s="864"/>
      <c r="G58" s="112"/>
      <c r="H58" s="316"/>
    </row>
    <row r="59" spans="1:8" ht="17.100000000000001" customHeight="1">
      <c r="A59" s="192"/>
      <c r="B59" s="502" t="s">
        <v>142</v>
      </c>
      <c r="C59" s="986" t="s">
        <v>25</v>
      </c>
      <c r="D59" s="987"/>
      <c r="E59" s="988"/>
      <c r="F59" s="712"/>
    </row>
    <row r="60" spans="1:8" ht="17.100000000000001" customHeight="1">
      <c r="A60" s="192"/>
      <c r="B60" s="502" t="s">
        <v>237</v>
      </c>
      <c r="C60" s="986" t="s">
        <v>25</v>
      </c>
      <c r="D60" s="987"/>
      <c r="E60" s="988"/>
      <c r="F60" s="777"/>
      <c r="G60" s="112"/>
    </row>
    <row r="61" spans="1:8" ht="17.100000000000001" customHeight="1">
      <c r="A61" s="192"/>
      <c r="B61" s="502" t="s">
        <v>45</v>
      </c>
      <c r="C61" s="986" t="s">
        <v>25</v>
      </c>
      <c r="D61" s="987"/>
      <c r="E61" s="988"/>
      <c r="F61" s="712"/>
    </row>
    <row r="62" spans="1:8" ht="27.75" customHeight="1" thickBot="1">
      <c r="A62" s="192"/>
      <c r="B62" s="263" t="s">
        <v>250</v>
      </c>
      <c r="C62" s="986" t="s">
        <v>25</v>
      </c>
      <c r="D62" s="987"/>
      <c r="E62" s="988"/>
      <c r="F62" s="777"/>
      <c r="G62" s="112"/>
      <c r="H62" s="316"/>
    </row>
    <row r="63" spans="1:8" ht="17.100000000000001" customHeight="1" thickTop="1">
      <c r="A63" s="192"/>
      <c r="B63" s="72" t="s">
        <v>10</v>
      </c>
      <c r="C63" s="980" t="str">
        <f>IF(SUM(C57:C62)=0," ",SUM(C57:C62))</f>
        <v xml:space="preserve"> </v>
      </c>
      <c r="D63" s="981"/>
      <c r="E63" s="982"/>
      <c r="F63" s="715"/>
      <c r="G63" s="316"/>
    </row>
    <row r="64" spans="1:8" ht="33" customHeight="1" thickBot="1">
      <c r="A64" s="192"/>
      <c r="B64" s="73" t="s">
        <v>303</v>
      </c>
      <c r="C64" s="989" t="s">
        <v>25</v>
      </c>
      <c r="D64" s="990"/>
      <c r="E64" s="991"/>
      <c r="F64" s="715"/>
      <c r="G64" s="316"/>
    </row>
    <row r="65" spans="1:10" ht="17.100000000000001" customHeight="1" thickTop="1">
      <c r="A65" s="192"/>
      <c r="B65" s="72" t="s">
        <v>343</v>
      </c>
      <c r="C65" s="980" t="str">
        <f>IF(SUM(C63:C64)=0," ",(SUM(C63:C64)))</f>
        <v xml:space="preserve"> </v>
      </c>
      <c r="D65" s="981"/>
      <c r="E65" s="982"/>
      <c r="F65" s="780"/>
      <c r="G65" s="715"/>
    </row>
    <row r="66" spans="1:10" ht="50.25" customHeight="1">
      <c r="A66" s="192"/>
      <c r="B66" s="995" t="s">
        <v>50</v>
      </c>
      <c r="C66" s="996"/>
      <c r="D66" s="996"/>
      <c r="E66" s="997"/>
      <c r="F66" s="715"/>
      <c r="G66" s="112"/>
    </row>
    <row r="67" spans="1:10" s="109" customFormat="1" ht="15.75">
      <c r="A67" s="192"/>
      <c r="B67" s="74"/>
      <c r="C67" s="55"/>
      <c r="D67" s="75"/>
      <c r="E67" s="75"/>
      <c r="F67" s="737"/>
      <c r="G67" s="104"/>
      <c r="H67" s="104"/>
      <c r="I67" s="104"/>
      <c r="J67" s="104"/>
    </row>
    <row r="68" spans="1:10" ht="29.25" customHeight="1">
      <c r="A68" s="192"/>
      <c r="B68" s="992" t="str">
        <f>CONCATENATE("Fråga 2: Investeringar i egen verksamhet [3] gällande telekomverksamhet i Sverige [tusentals kronor] under ",'Om detta formulär'!C6,":")</f>
        <v>Fråga 2: Investeringar i egen verksamhet [3] gällande telekomverksamhet i Sverige [tusentals kronor] under 2019:</v>
      </c>
      <c r="C68" s="993"/>
      <c r="D68" s="993"/>
      <c r="E68" s="994"/>
      <c r="F68" s="813"/>
      <c r="G68" s="535"/>
      <c r="H68" s="535"/>
      <c r="I68" s="535"/>
      <c r="J68" s="535"/>
    </row>
    <row r="69" spans="1:10" s="110" customFormat="1" ht="15" customHeight="1" thickBot="1">
      <c r="A69" s="192"/>
      <c r="B69" s="254"/>
      <c r="C69" s="998" t="s">
        <v>20</v>
      </c>
      <c r="D69" s="1037"/>
      <c r="E69" s="1038" t="s">
        <v>20</v>
      </c>
      <c r="F69" s="740"/>
      <c r="G69" s="538"/>
      <c r="H69" s="537"/>
      <c r="I69" s="537"/>
      <c r="J69" s="537"/>
    </row>
    <row r="70" spans="1:10" ht="36.75" customHeight="1" thickTop="1">
      <c r="A70" s="192"/>
      <c r="B70" s="536" t="s">
        <v>382</v>
      </c>
      <c r="C70" s="980" t="str">
        <f>IF(SUM(C71:E72)=0," ",SUM(C71:E72))</f>
        <v xml:space="preserve"> </v>
      </c>
      <c r="D70" s="981"/>
      <c r="E70" s="982" t="str">
        <f>IF(SUM(C70:D70)=0," ",SUM(C70:D70))</f>
        <v xml:space="preserve"> </v>
      </c>
      <c r="F70" s="813"/>
      <c r="G70" s="813"/>
      <c r="H70" s="535"/>
      <c r="I70" s="535"/>
      <c r="J70" s="535"/>
    </row>
    <row r="71" spans="1:10" ht="36.75" customHeight="1" thickBot="1">
      <c r="A71" s="192"/>
      <c r="B71" s="796" t="s">
        <v>469</v>
      </c>
      <c r="C71" s="998"/>
      <c r="D71" s="999"/>
      <c r="E71" s="1000"/>
      <c r="F71" s="813" t="s">
        <v>472</v>
      </c>
      <c r="G71" s="813"/>
      <c r="H71" s="896"/>
      <c r="I71" s="896"/>
      <c r="J71" s="896"/>
    </row>
    <row r="72" spans="1:10" ht="24" customHeight="1" thickTop="1">
      <c r="A72" s="192"/>
      <c r="B72" s="796" t="s">
        <v>364</v>
      </c>
      <c r="C72" s="980" t="str">
        <f>IF(SUM(C73:E77)=0," ",SUM(C73:E77))</f>
        <v xml:space="preserve"> </v>
      </c>
      <c r="D72" s="981"/>
      <c r="E72" s="982"/>
      <c r="F72" s="740"/>
      <c r="G72" s="352"/>
      <c r="H72" s="535"/>
      <c r="I72" s="535"/>
      <c r="J72" s="535"/>
    </row>
    <row r="73" spans="1:10" ht="16.5" customHeight="1">
      <c r="A73" s="192"/>
      <c r="B73" s="649" t="s">
        <v>344</v>
      </c>
      <c r="C73" s="983"/>
      <c r="D73" s="984"/>
      <c r="E73" s="985"/>
      <c r="F73" s="740"/>
      <c r="G73" s="352"/>
      <c r="H73" s="535"/>
      <c r="I73" s="535"/>
      <c r="J73" s="535"/>
    </row>
    <row r="74" spans="1:10" ht="16.5" customHeight="1">
      <c r="A74" s="192"/>
      <c r="B74" s="650" t="s">
        <v>368</v>
      </c>
      <c r="C74" s="977"/>
      <c r="D74" s="978"/>
      <c r="E74" s="979"/>
      <c r="F74" s="740"/>
      <c r="G74" s="352"/>
      <c r="H74" s="596"/>
      <c r="I74" s="596"/>
      <c r="J74" s="596"/>
    </row>
    <row r="75" spans="1:10" ht="17.100000000000001" customHeight="1">
      <c r="A75" s="192"/>
      <c r="B75" s="651" t="s">
        <v>367</v>
      </c>
      <c r="C75" s="977"/>
      <c r="D75" s="978"/>
      <c r="E75" s="979"/>
      <c r="F75" s="740"/>
      <c r="G75" s="352"/>
      <c r="H75" s="535"/>
      <c r="I75" s="535"/>
      <c r="J75" s="535"/>
    </row>
    <row r="76" spans="1:10" ht="17.25" customHeight="1">
      <c r="A76" s="192"/>
      <c r="B76" s="651" t="s">
        <v>345</v>
      </c>
      <c r="C76" s="977"/>
      <c r="D76" s="978"/>
      <c r="E76" s="979"/>
      <c r="F76" s="740"/>
      <c r="G76" s="352"/>
      <c r="H76" s="592"/>
      <c r="I76" s="592"/>
      <c r="J76" s="592"/>
    </row>
    <row r="77" spans="1:10" ht="17.100000000000001" customHeight="1">
      <c r="A77" s="192"/>
      <c r="B77" s="652" t="s">
        <v>346</v>
      </c>
      <c r="C77" s="1051"/>
      <c r="D77" s="1052"/>
      <c r="E77" s="1053"/>
      <c r="F77" s="740"/>
      <c r="G77" s="352"/>
      <c r="H77" s="535"/>
      <c r="I77" s="535"/>
      <c r="J77" s="535"/>
    </row>
    <row r="78" spans="1:10" s="109" customFormat="1" ht="15.75">
      <c r="A78" s="192"/>
      <c r="B78" s="74"/>
      <c r="C78" s="55"/>
      <c r="D78" s="75"/>
      <c r="E78" s="75"/>
      <c r="F78" s="737"/>
      <c r="G78" s="104"/>
      <c r="H78" s="104"/>
      <c r="I78" s="104"/>
      <c r="J78" s="104"/>
    </row>
    <row r="79" spans="1:10" ht="16.5" customHeight="1">
      <c r="A79" s="192"/>
      <c r="B79" s="842" t="s">
        <v>441</v>
      </c>
      <c r="C79" s="843"/>
      <c r="D79" s="843"/>
      <c r="E79" s="844"/>
      <c r="F79" s="924"/>
      <c r="G79" s="535"/>
      <c r="H79" s="535"/>
      <c r="I79" s="535"/>
      <c r="J79" s="535"/>
    </row>
    <row r="80" spans="1:10" ht="17.100000000000001" customHeight="1">
      <c r="A80" s="192"/>
      <c r="B80" s="845"/>
      <c r="C80" s="846" t="s">
        <v>11</v>
      </c>
      <c r="D80" s="846" t="s">
        <v>12</v>
      </c>
      <c r="E80" s="847" t="s">
        <v>20</v>
      </c>
      <c r="F80" s="737"/>
      <c r="G80" s="535"/>
      <c r="H80" s="535"/>
      <c r="I80" s="535"/>
      <c r="J80" s="535"/>
    </row>
    <row r="81" spans="1:11" ht="17.100000000000001" customHeight="1">
      <c r="A81" s="192"/>
      <c r="B81" s="848" t="s">
        <v>442</v>
      </c>
      <c r="C81" s="849"/>
      <c r="D81" s="850"/>
      <c r="E81" s="851"/>
      <c r="F81" s="715"/>
      <c r="G81" s="110"/>
      <c r="H81" s="110"/>
      <c r="I81" s="110"/>
      <c r="J81" s="110"/>
      <c r="K81" s="110"/>
    </row>
    <row r="82" spans="1:11" ht="17.100000000000001" customHeight="1">
      <c r="A82" s="192"/>
      <c r="B82" s="900" t="s">
        <v>443</v>
      </c>
      <c r="C82" s="849"/>
      <c r="D82" s="850"/>
      <c r="E82" s="851" t="str">
        <f>IF(SUM(C82:D82)=0," ",SUM(C82:D82))</f>
        <v xml:space="preserve"> </v>
      </c>
      <c r="F82" s="858"/>
      <c r="G82" s="110"/>
      <c r="H82" s="110"/>
      <c r="I82" s="110"/>
      <c r="J82" s="110"/>
      <c r="K82" s="110"/>
    </row>
    <row r="83" spans="1:11" ht="17.100000000000001" customHeight="1">
      <c r="A83" s="192"/>
      <c r="B83" s="941" t="s">
        <v>546</v>
      </c>
      <c r="C83" s="936"/>
      <c r="D83" s="937"/>
      <c r="E83" s="938"/>
      <c r="F83" s="858" t="s">
        <v>529</v>
      </c>
      <c r="G83" s="110"/>
      <c r="H83" s="110"/>
      <c r="I83" s="110"/>
      <c r="J83" s="110"/>
      <c r="K83" s="110"/>
    </row>
    <row r="84" spans="1:11" s="110" customFormat="1" ht="17.100000000000001" customHeight="1">
      <c r="A84" s="192"/>
      <c r="B84" s="852" t="s">
        <v>416</v>
      </c>
      <c r="C84" s="853"/>
      <c r="D84" s="854"/>
      <c r="E84" s="851" t="str">
        <f t="shared" ref="E84:E86" si="0">IF(SUM(C84:D84)=0," ",SUM(C84:D84))</f>
        <v xml:space="preserve"> </v>
      </c>
      <c r="F84" s="858"/>
    </row>
    <row r="85" spans="1:11" s="110" customFormat="1" ht="17.100000000000001" customHeight="1">
      <c r="A85" s="192"/>
      <c r="B85" s="941" t="s">
        <v>547</v>
      </c>
      <c r="C85" s="936"/>
      <c r="D85" s="937"/>
      <c r="E85" s="938"/>
      <c r="F85" s="858" t="s">
        <v>529</v>
      </c>
    </row>
    <row r="86" spans="1:11" s="110" customFormat="1" ht="17.100000000000001" customHeight="1">
      <c r="A86" s="192"/>
      <c r="B86" s="855" t="s">
        <v>417</v>
      </c>
      <c r="C86" s="856"/>
      <c r="D86" s="857"/>
      <c r="E86" s="851" t="str">
        <f t="shared" si="0"/>
        <v xml:space="preserve"> </v>
      </c>
      <c r="F86" s="858"/>
    </row>
    <row r="87" spans="1:11" s="109" customFormat="1" ht="13.5" customHeight="1">
      <c r="A87" s="192"/>
      <c r="B87" s="74"/>
      <c r="C87" s="55"/>
      <c r="D87" s="75"/>
      <c r="E87" s="75"/>
      <c r="F87" s="737"/>
      <c r="G87" s="110"/>
      <c r="H87" s="110"/>
      <c r="I87" s="110"/>
      <c r="J87" s="110"/>
      <c r="K87" s="110"/>
    </row>
    <row r="88" spans="1:11" ht="35.25" customHeight="1">
      <c r="A88" s="192"/>
      <c r="B88" s="1042" t="str">
        <f>CONCATENATE("Fråga borttagen: Intäkter från utlandet och kostnader till utlandet [4] för telekomtjänster [tusentals kronor] under ",'Om detta formulär'!C6,":")</f>
        <v>Fråga borttagen: Intäkter från utlandet och kostnader till utlandet [4] för telekomtjänster [tusentals kronor] under 2019:</v>
      </c>
      <c r="C88" s="1043"/>
      <c r="D88" s="1043"/>
      <c r="E88" s="1044"/>
      <c r="F88" s="872" t="s">
        <v>499</v>
      </c>
      <c r="G88" s="110"/>
      <c r="H88" s="110"/>
      <c r="I88" s="110"/>
      <c r="J88" s="110"/>
      <c r="K88" s="110"/>
    </row>
    <row r="89" spans="1:11" s="109" customFormat="1" ht="15">
      <c r="A89" s="192"/>
      <c r="B89" s="69"/>
      <c r="C89" s="70"/>
      <c r="D89" s="70"/>
      <c r="E89" s="70"/>
      <c r="F89" s="741"/>
    </row>
    <row r="90" spans="1:11" ht="36.75" customHeight="1">
      <c r="A90" s="192"/>
      <c r="B90" s="992" t="str">
        <f>CONCATENATE("Fråga 4: Rörelsens totala kostnader gällande telekomverksamhet [tusentals kronor] i Sverige under ",'Om detta formulär'!C6,":")</f>
        <v>Fråga 4: Rörelsens totala kostnader gällande telekomverksamhet [tusentals kronor] i Sverige under 2019:</v>
      </c>
      <c r="C90" s="993"/>
      <c r="D90" s="993"/>
      <c r="E90" s="994"/>
      <c r="F90" s="813" t="s">
        <v>426</v>
      </c>
      <c r="G90" s="112"/>
    </row>
    <row r="91" spans="1:11" s="86" customFormat="1" ht="18" customHeight="1" thickBot="1">
      <c r="A91" s="192"/>
      <c r="B91" s="78"/>
      <c r="C91" s="76"/>
      <c r="D91" s="71" t="s">
        <v>20</v>
      </c>
      <c r="E91" s="77"/>
      <c r="F91" s="739"/>
      <c r="G91" s="382"/>
    </row>
    <row r="92" spans="1:11" ht="17.100000000000001" customHeight="1" thickTop="1">
      <c r="A92" s="80"/>
      <c r="B92" s="778" t="s">
        <v>347</v>
      </c>
      <c r="C92" s="980" t="str">
        <f>IF(SUM(C93+C95+C96+C97+C98)=0," ",SUM(C93+C95+C96+C97+C98))</f>
        <v xml:space="preserve"> </v>
      </c>
      <c r="D92" s="981"/>
      <c r="E92" s="982"/>
      <c r="F92" s="715"/>
    </row>
    <row r="93" spans="1:11" ht="17.100000000000001" customHeight="1">
      <c r="A93" s="80"/>
      <c r="B93" s="79" t="s">
        <v>348</v>
      </c>
      <c r="C93" s="1045"/>
      <c r="D93" s="1046"/>
      <c r="E93" s="1047"/>
      <c r="F93" s="858"/>
    </row>
    <row r="94" spans="1:11" ht="17.100000000000001" customHeight="1">
      <c r="A94" s="80"/>
      <c r="B94" s="79" t="s">
        <v>352</v>
      </c>
      <c r="C94" s="1039"/>
      <c r="D94" s="1040"/>
      <c r="E94" s="1041"/>
      <c r="F94" s="715"/>
    </row>
    <row r="95" spans="1:11" ht="17.100000000000001" customHeight="1">
      <c r="A95" s="80"/>
      <c r="B95" s="79" t="s">
        <v>349</v>
      </c>
      <c r="C95" s="1039"/>
      <c r="D95" s="1040"/>
      <c r="E95" s="1041"/>
      <c r="F95" s="715"/>
    </row>
    <row r="96" spans="1:11" ht="17.100000000000001" customHeight="1">
      <c r="A96" s="80"/>
      <c r="B96" s="79" t="s">
        <v>350</v>
      </c>
      <c r="C96" s="1039"/>
      <c r="D96" s="1040"/>
      <c r="E96" s="1041"/>
      <c r="F96" s="715"/>
    </row>
    <row r="97" spans="1:6" ht="17.100000000000001" customHeight="1">
      <c r="A97" s="80"/>
      <c r="B97" s="79" t="s">
        <v>351</v>
      </c>
      <c r="C97" s="1039"/>
      <c r="D97" s="1040"/>
      <c r="E97" s="1041"/>
      <c r="F97" s="715"/>
    </row>
    <row r="98" spans="1:6" ht="17.100000000000001" customHeight="1">
      <c r="A98" s="80"/>
      <c r="B98" s="804" t="s">
        <v>353</v>
      </c>
      <c r="C98" s="1048"/>
      <c r="D98" s="1049"/>
      <c r="E98" s="1050"/>
      <c r="F98" s="742"/>
    </row>
    <row r="99" spans="1:6" s="109" customFormat="1" ht="15.75" thickBot="1">
      <c r="A99" s="192"/>
      <c r="B99" s="69"/>
      <c r="C99" s="565"/>
      <c r="D99" s="565"/>
      <c r="E99" s="565"/>
      <c r="F99" s="741"/>
    </row>
    <row r="100" spans="1:6" ht="17.100000000000001" customHeight="1">
      <c r="A100" s="80"/>
      <c r="B100" s="1036" t="s">
        <v>130</v>
      </c>
      <c r="C100" s="1036"/>
      <c r="D100" s="1036"/>
      <c r="E100" s="1036"/>
      <c r="F100" s="742"/>
    </row>
    <row r="101" spans="1:6" ht="66.75" customHeight="1">
      <c r="A101" s="581">
        <v>1</v>
      </c>
      <c r="B101" s="1033" t="s">
        <v>559</v>
      </c>
      <c r="C101" s="1034"/>
      <c r="D101" s="1034"/>
      <c r="E101" s="1035"/>
      <c r="F101" s="716" t="s">
        <v>560</v>
      </c>
    </row>
    <row r="102" spans="1:6" ht="39" customHeight="1">
      <c r="A102" s="581">
        <v>2</v>
      </c>
      <c r="B102" s="1030" t="s">
        <v>274</v>
      </c>
      <c r="C102" s="1031"/>
      <c r="D102" s="1031"/>
      <c r="E102" s="1032"/>
    </row>
    <row r="103" spans="1:6" ht="39.6" customHeight="1">
      <c r="A103" s="581">
        <v>3</v>
      </c>
      <c r="B103" s="1030" t="s">
        <v>380</v>
      </c>
      <c r="C103" s="1031"/>
      <c r="D103" s="1031"/>
      <c r="E103" s="1032"/>
      <c r="F103" s="780"/>
    </row>
    <row r="104" spans="1:6" ht="36.6" customHeight="1">
      <c r="A104" s="581">
        <v>4</v>
      </c>
      <c r="B104" s="1030" t="s">
        <v>285</v>
      </c>
      <c r="C104" s="1031"/>
      <c r="D104" s="1031"/>
      <c r="E104" s="1032"/>
    </row>
    <row r="105" spans="1:6" ht="107.45" customHeight="1">
      <c r="A105" s="581">
        <v>5</v>
      </c>
      <c r="B105" s="1030" t="s">
        <v>275</v>
      </c>
      <c r="C105" s="1031"/>
      <c r="D105" s="1031"/>
      <c r="E105" s="1032"/>
    </row>
    <row r="106" spans="1:6" ht="27" customHeight="1">
      <c r="A106" s="814">
        <v>6</v>
      </c>
      <c r="B106" s="1026" t="s">
        <v>366</v>
      </c>
      <c r="C106" s="1027"/>
      <c r="D106" s="1027"/>
      <c r="E106" s="1028"/>
    </row>
    <row r="107" spans="1:6" ht="48.75" customHeight="1"/>
    <row r="108" spans="1:6" ht="48.75" customHeight="1"/>
    <row r="109" spans="1:6" ht="48.75" customHeight="1"/>
    <row r="110" spans="1:6" ht="48.75" customHeight="1"/>
    <row r="111" spans="1:6" ht="48.75" customHeight="1"/>
    <row r="112" spans="1:6" ht="48.75" customHeight="1"/>
    <row r="113" ht="48.75" customHeight="1"/>
    <row r="114" ht="48.75" customHeight="1"/>
    <row r="115" ht="48.75" customHeight="1"/>
    <row r="116" ht="48.75" customHeight="1"/>
    <row r="117" ht="48.75" customHeight="1"/>
    <row r="118" ht="48.75" customHeight="1"/>
    <row r="119" ht="48.75" customHeight="1"/>
    <row r="120" ht="48.75" customHeight="1"/>
    <row r="121" ht="48.75" customHeight="1"/>
    <row r="122" ht="48.75" customHeight="1"/>
    <row r="123" ht="48.75" customHeight="1"/>
    <row r="124" ht="48.75" customHeight="1"/>
    <row r="125" ht="48.75" customHeight="1"/>
    <row r="126" ht="48.75" customHeight="1"/>
    <row r="127" ht="48.75" customHeight="1"/>
    <row r="128" ht="48.75" customHeight="1"/>
    <row r="129" ht="48.75" customHeight="1"/>
    <row r="130" ht="48.75" customHeight="1"/>
    <row r="131" ht="48.75" customHeight="1"/>
    <row r="132" ht="48.75" customHeight="1"/>
    <row r="133" ht="48.75" customHeight="1"/>
    <row r="134" ht="48.75" customHeight="1"/>
    <row r="135" ht="48.75" customHeight="1"/>
    <row r="136" ht="48.75" customHeight="1"/>
    <row r="137" ht="48.75" customHeight="1"/>
    <row r="138" ht="48.75" customHeight="1"/>
    <row r="140" ht="9.75" customHeight="1"/>
  </sheetData>
  <dataConsolidate/>
  <customSheetViews>
    <customSheetView guid="{57543244-C279-4784-9046-AADA166AE6D2}" showPageBreaks="1" showGridLines="0" fitToPage="1" printArea="1" topLeftCell="A31">
      <selection activeCell="B8" sqref="B8:E8"/>
      <rowBreaks count="2" manualBreakCount="2">
        <brk id="37" min="1" max="4" man="1"/>
        <brk id="70" min="1" max="4" man="1"/>
      </rowBreaks>
      <pageMargins left="0.78740157480314965" right="0.78740157480314965" top="0.51181102362204722" bottom="0.35433070866141736" header="0.51181102362204722" footer="0.31496062992125984"/>
      <pageSetup paperSize="9" scale="97" fitToHeight="0" orientation="portrait" r:id="rId1"/>
      <headerFooter alignWithMargins="0">
        <oddFooter>&amp;CSida &amp;P(&amp;N)</oddFooter>
      </headerFooter>
    </customSheetView>
    <customSheetView guid="{AFB80F5F-D59D-4563-906B-EFB87107A041}" showGridLines="0" fitToPage="1" topLeftCell="A31">
      <selection activeCell="B8" sqref="B8:E8"/>
      <rowBreaks count="2" manualBreakCount="2">
        <brk id="37" min="1" max="4" man="1"/>
        <brk id="70" min="1" max="4" man="1"/>
      </rowBreaks>
      <pageMargins left="0.78740157480314965" right="0.78740157480314965" top="0.51181102362204722" bottom="0.35433070866141736" header="0.51181102362204722" footer="0.31496062992125984"/>
      <pageSetup paperSize="9" scale="97" fitToHeight="0" orientation="portrait" r:id="rId2"/>
      <headerFooter alignWithMargins="0">
        <oddFooter>&amp;CSida &amp;P(&amp;N)</oddFooter>
      </headerFooter>
    </customSheetView>
  </customSheetViews>
  <mergeCells count="73">
    <mergeCell ref="C96:E96"/>
    <mergeCell ref="C98:E98"/>
    <mergeCell ref="C97:E97"/>
    <mergeCell ref="C77:E77"/>
    <mergeCell ref="F9:I9"/>
    <mergeCell ref="C29:E29"/>
    <mergeCell ref="C16:E16"/>
    <mergeCell ref="C17:E17"/>
    <mergeCell ref="C18:E18"/>
    <mergeCell ref="B52:E52"/>
    <mergeCell ref="B53:E53"/>
    <mergeCell ref="B55:E55"/>
    <mergeCell ref="B54:E54"/>
    <mergeCell ref="B15:E15"/>
    <mergeCell ref="B19:E19"/>
    <mergeCell ref="B32:E32"/>
    <mergeCell ref="B106:E106"/>
    <mergeCell ref="B50:E50"/>
    <mergeCell ref="B103:E103"/>
    <mergeCell ref="B104:E104"/>
    <mergeCell ref="B105:E105"/>
    <mergeCell ref="B101:E101"/>
    <mergeCell ref="B102:E102"/>
    <mergeCell ref="B100:E100"/>
    <mergeCell ref="C75:E75"/>
    <mergeCell ref="C69:E69"/>
    <mergeCell ref="C94:E94"/>
    <mergeCell ref="B88:E88"/>
    <mergeCell ref="C95:E95"/>
    <mergeCell ref="C93:E93"/>
    <mergeCell ref="B90:E90"/>
    <mergeCell ref="C92:E92"/>
    <mergeCell ref="B33:E34"/>
    <mergeCell ref="B35:E35"/>
    <mergeCell ref="C22:E22"/>
    <mergeCell ref="C23:E23"/>
    <mergeCell ref="C24:E24"/>
    <mergeCell ref="C25:E25"/>
    <mergeCell ref="C26:E26"/>
    <mergeCell ref="C27:E27"/>
    <mergeCell ref="C28:E28"/>
    <mergeCell ref="C76:E76"/>
    <mergeCell ref="C59:E59"/>
    <mergeCell ref="C60:E60"/>
    <mergeCell ref="B2:E2"/>
    <mergeCell ref="B3:E3"/>
    <mergeCell ref="B4:E4"/>
    <mergeCell ref="B5:E5"/>
    <mergeCell ref="B13:E13"/>
    <mergeCell ref="B6:E6"/>
    <mergeCell ref="B9:E9"/>
    <mergeCell ref="B12:E12"/>
    <mergeCell ref="B7:E7"/>
    <mergeCell ref="C61:E61"/>
    <mergeCell ref="C57:E57"/>
    <mergeCell ref="C58:E58"/>
    <mergeCell ref="B31:E31"/>
    <mergeCell ref="B11:E11"/>
    <mergeCell ref="C21:E21"/>
    <mergeCell ref="B20:E20"/>
    <mergeCell ref="C74:E74"/>
    <mergeCell ref="C72:E72"/>
    <mergeCell ref="C73:E73"/>
    <mergeCell ref="C62:E62"/>
    <mergeCell ref="C63:E63"/>
    <mergeCell ref="C64:E64"/>
    <mergeCell ref="C65:E65"/>
    <mergeCell ref="B68:E68"/>
    <mergeCell ref="B66:E66"/>
    <mergeCell ref="C70:E70"/>
    <mergeCell ref="C71:E71"/>
    <mergeCell ref="B36:E36"/>
    <mergeCell ref="B37:E37"/>
  </mergeCells>
  <dataValidations count="1">
    <dataValidation type="list" allowBlank="1" showInputMessage="1" showErrorMessage="1" sqref="D39:D50">
      <formula1>"Ja,Nej"</formula1>
    </dataValidation>
  </dataValidations>
  <pageMargins left="0.78740157480314965" right="0.78740157480314965" top="0.51181102362204722" bottom="0.35433070866141736" header="0.51181102362204722" footer="0.31496062992125984"/>
  <pageSetup paperSize="9" scale="77" fitToHeight="0" orientation="portrait" r:id="rId3"/>
  <headerFooter alignWithMargins="0">
    <oddFooter>&amp;CSida &amp;P(&amp;N)</oddFooter>
  </headerFooter>
  <rowBreaks count="3" manualBreakCount="3">
    <brk id="37" max="16383" man="1"/>
    <brk id="52" max="16383" man="1"/>
    <brk id="86" max="16383" man="1"/>
  </rowBreaks>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pageSetUpPr fitToPage="1"/>
  </sheetPr>
  <dimension ref="A1:AK55"/>
  <sheetViews>
    <sheetView view="pageBreakPreview" zoomScaleNormal="100" zoomScaleSheetLayoutView="100" workbookViewId="0">
      <pane ySplit="2" topLeftCell="A22" activePane="bottomLeft" state="frozen"/>
      <selection activeCell="B24" sqref="B24"/>
      <selection pane="bottomLeft" activeCell="B28" sqref="B28:E28"/>
    </sheetView>
  </sheetViews>
  <sheetFormatPr defaultColWidth="8.85546875" defaultRowHeight="12.75"/>
  <cols>
    <col min="1" max="1" width="1.42578125" style="50" customWidth="1"/>
    <col min="2" max="2" width="12.42578125" style="586" customWidth="1"/>
    <col min="3" max="3" width="61.85546875" style="586" customWidth="1"/>
    <col min="4" max="4" width="25.5703125" style="586" customWidth="1"/>
    <col min="5" max="5" width="27.85546875" style="586" customWidth="1"/>
    <col min="6" max="6" width="23" style="586" customWidth="1"/>
    <col min="7" max="7" width="8.85546875" style="586"/>
    <col min="8" max="8" width="4.42578125" style="586" customWidth="1"/>
    <col min="9" max="16384" width="8.85546875" style="586"/>
  </cols>
  <sheetData>
    <row r="1" spans="1:37" ht="13.5" thickBot="1">
      <c r="B1" s="1071"/>
      <c r="C1" s="1071"/>
      <c r="D1" s="1071"/>
      <c r="E1" s="1071"/>
      <c r="F1" s="877" t="s">
        <v>550</v>
      </c>
      <c r="G1" s="275"/>
    </row>
    <row r="2" spans="1:37" s="384" customFormat="1" ht="18" customHeight="1" thickBot="1">
      <c r="A2" s="50"/>
      <c r="B2" s="1062" t="s">
        <v>425</v>
      </c>
      <c r="C2" s="1062"/>
      <c r="D2" s="1062"/>
      <c r="E2" s="1062"/>
      <c r="F2" s="587"/>
      <c r="G2" s="587"/>
      <c r="H2" s="587"/>
      <c r="I2" s="587"/>
      <c r="J2" s="178"/>
      <c r="K2" s="178"/>
      <c r="L2" s="178"/>
      <c r="M2" s="178"/>
      <c r="N2" s="178"/>
      <c r="O2" s="178"/>
      <c r="P2" s="178"/>
      <c r="Q2" s="50"/>
      <c r="R2" s="50"/>
      <c r="S2" s="50"/>
      <c r="T2" s="50"/>
      <c r="U2" s="50"/>
      <c r="V2" s="50"/>
      <c r="W2" s="50"/>
      <c r="X2" s="50"/>
      <c r="Y2" s="50"/>
      <c r="Z2" s="50"/>
      <c r="AA2" s="50"/>
      <c r="AB2" s="50"/>
      <c r="AC2" s="50"/>
      <c r="AD2" s="50"/>
      <c r="AE2" s="50"/>
      <c r="AF2" s="50"/>
      <c r="AG2" s="50"/>
      <c r="AH2" s="50"/>
      <c r="AI2" s="50"/>
      <c r="AJ2" s="50"/>
      <c r="AK2" s="50"/>
    </row>
    <row r="3" spans="1:37" s="384" customFormat="1" ht="24" customHeight="1">
      <c r="A3" s="50"/>
      <c r="B3" s="1080" t="s">
        <v>427</v>
      </c>
      <c r="C3" s="1081"/>
      <c r="D3" s="1081"/>
      <c r="E3" s="1082"/>
      <c r="F3" s="587"/>
      <c r="H3" s="588"/>
      <c r="I3" s="196"/>
      <c r="J3" s="178"/>
      <c r="K3" s="178"/>
      <c r="L3" s="178"/>
      <c r="M3" s="178"/>
      <c r="N3" s="178"/>
      <c r="O3" s="178"/>
      <c r="P3" s="178"/>
      <c r="Q3" s="50"/>
      <c r="R3" s="50"/>
      <c r="S3" s="50"/>
      <c r="T3" s="50"/>
      <c r="U3" s="50"/>
      <c r="V3" s="50"/>
      <c r="W3" s="50"/>
      <c r="X3" s="50"/>
      <c r="Y3" s="50"/>
      <c r="Z3" s="50"/>
      <c r="AA3" s="50"/>
      <c r="AB3" s="50"/>
      <c r="AC3" s="50"/>
      <c r="AD3" s="50"/>
      <c r="AE3" s="50"/>
      <c r="AF3" s="50"/>
      <c r="AG3" s="50"/>
      <c r="AH3" s="50"/>
      <c r="AI3" s="50"/>
      <c r="AJ3" s="50"/>
      <c r="AK3" s="50"/>
    </row>
    <row r="4" spans="1:37" s="50" customFormat="1" ht="229.5" customHeight="1">
      <c r="B4" s="1072" t="s">
        <v>473</v>
      </c>
      <c r="C4" s="1073"/>
      <c r="D4" s="1073"/>
      <c r="E4" s="1074"/>
      <c r="F4" s="587" t="s">
        <v>438</v>
      </c>
      <c r="G4" s="591"/>
      <c r="H4" s="480"/>
      <c r="I4" s="196"/>
      <c r="J4" s="541"/>
    </row>
    <row r="5" spans="1:37" s="50" customFormat="1" ht="56.45" customHeight="1">
      <c r="B5" s="1075" t="s">
        <v>474</v>
      </c>
      <c r="C5" s="1076"/>
      <c r="D5" s="1076"/>
      <c r="E5" s="1077"/>
      <c r="F5" s="587" t="s">
        <v>475</v>
      </c>
      <c r="G5" s="264"/>
      <c r="H5" s="589"/>
      <c r="I5" s="196"/>
    </row>
    <row r="6" spans="1:37" s="50" customFormat="1" ht="37.700000000000003" customHeight="1">
      <c r="B6" s="598"/>
      <c r="C6" s="861" t="s">
        <v>428</v>
      </c>
      <c r="D6" s="1078" t="s">
        <v>429</v>
      </c>
      <c r="E6" s="1079"/>
      <c r="F6" s="587"/>
      <c r="G6" s="196"/>
      <c r="H6" s="589"/>
    </row>
    <row r="7" spans="1:37" s="50" customFormat="1" ht="43.7" customHeight="1">
      <c r="B7" s="407"/>
      <c r="C7" s="865"/>
      <c r="D7" s="1069"/>
      <c r="E7" s="1070"/>
      <c r="F7" s="589"/>
      <c r="G7" s="595"/>
      <c r="H7" s="589"/>
    </row>
    <row r="8" spans="1:37" s="50" customFormat="1" ht="20.100000000000001" customHeight="1">
      <c r="B8" s="407"/>
      <c r="C8" s="218"/>
      <c r="D8" s="1069"/>
      <c r="E8" s="1070"/>
      <c r="F8" s="589"/>
      <c r="G8" s="925"/>
      <c r="H8" s="589"/>
    </row>
    <row r="9" spans="1:37" s="50" customFormat="1" ht="20.100000000000001" customHeight="1">
      <c r="B9" s="407"/>
      <c r="C9" s="218"/>
      <c r="D9" s="1069"/>
      <c r="E9" s="1070"/>
      <c r="F9" s="589"/>
      <c r="G9" s="591"/>
      <c r="H9" s="589"/>
    </row>
    <row r="10" spans="1:37" s="50" customFormat="1" ht="20.100000000000001" customHeight="1">
      <c r="B10" s="407"/>
      <c r="C10" s="218"/>
      <c r="D10" s="1086"/>
      <c r="E10" s="1070"/>
      <c r="F10" s="589"/>
      <c r="G10" s="591"/>
      <c r="H10" s="589"/>
    </row>
    <row r="11" spans="1:37" s="50" customFormat="1" ht="20.100000000000001" customHeight="1">
      <c r="B11" s="407"/>
      <c r="C11" s="218"/>
      <c r="D11" s="1086"/>
      <c r="E11" s="1070"/>
      <c r="F11" s="589"/>
      <c r="G11" s="591"/>
      <c r="H11" s="589"/>
    </row>
    <row r="12" spans="1:37" s="50" customFormat="1" ht="20.100000000000001" customHeight="1">
      <c r="B12" s="407"/>
      <c r="C12" s="218"/>
      <c r="D12" s="1069"/>
      <c r="E12" s="1085"/>
      <c r="F12" s="589"/>
      <c r="G12" s="591"/>
      <c r="H12" s="589"/>
    </row>
    <row r="13" spans="1:37" s="50" customFormat="1" ht="20.100000000000001" customHeight="1">
      <c r="B13" s="600"/>
      <c r="C13" s="648" t="s">
        <v>141</v>
      </c>
      <c r="D13" s="1083" t="str">
        <f>IF(SUM(D7:E12)=0," ",SUM(D7:E12))</f>
        <v xml:space="preserve"> </v>
      </c>
      <c r="E13" s="1084"/>
      <c r="G13" s="591"/>
      <c r="H13" s="589"/>
    </row>
    <row r="14" spans="1:37" s="50" customFormat="1" ht="48.75" customHeight="1">
      <c r="A14" s="212"/>
      <c r="B14" s="1094" t="s">
        <v>50</v>
      </c>
      <c r="C14" s="1095"/>
      <c r="D14" s="1095"/>
      <c r="E14" s="1096"/>
      <c r="F14" s="601"/>
    </row>
    <row r="15" spans="1:37" s="50" customFormat="1" ht="55.7" customHeight="1">
      <c r="A15" s="56"/>
      <c r="B15" s="1075" t="s">
        <v>477</v>
      </c>
      <c r="C15" s="1076"/>
      <c r="D15" s="1092"/>
      <c r="E15" s="1077"/>
      <c r="F15" s="587" t="s">
        <v>476</v>
      </c>
      <c r="G15" s="264"/>
    </row>
    <row r="16" spans="1:37" s="50" customFormat="1" ht="47.25" customHeight="1">
      <c r="B16" s="404"/>
      <c r="C16" s="866" t="s">
        <v>549</v>
      </c>
      <c r="D16" s="867"/>
      <c r="E16" s="868"/>
      <c r="F16" s="557" t="s">
        <v>438</v>
      </c>
      <c r="G16" s="557"/>
    </row>
    <row r="17" spans="2:7" s="50" customFormat="1" ht="34.35" customHeight="1">
      <c r="B17" s="473" t="s">
        <v>304</v>
      </c>
      <c r="C17" s="1097"/>
      <c r="D17" s="1098"/>
      <c r="E17" s="1099"/>
      <c r="F17" s="587"/>
    </row>
    <row r="18" spans="2:7" s="50" customFormat="1" ht="34.35" customHeight="1">
      <c r="B18" s="473" t="s">
        <v>305</v>
      </c>
      <c r="C18" s="1097"/>
      <c r="D18" s="1100"/>
      <c r="E18" s="1099"/>
      <c r="F18" s="589"/>
    </row>
    <row r="19" spans="2:7" s="50" customFormat="1" ht="34.35" customHeight="1">
      <c r="B19" s="217"/>
      <c r="C19" s="901"/>
      <c r="D19" s="901"/>
      <c r="E19" s="902"/>
      <c r="F19" s="589"/>
    </row>
    <row r="20" spans="2:7" s="50" customFormat="1" ht="34.35" customHeight="1">
      <c r="B20" s="1075" t="s">
        <v>552</v>
      </c>
      <c r="C20" s="1076"/>
      <c r="D20" s="1092"/>
      <c r="E20" s="1077"/>
      <c r="F20" s="557" t="s">
        <v>457</v>
      </c>
    </row>
    <row r="21" spans="2:7" s="50" customFormat="1" ht="34.35" customHeight="1">
      <c r="B21" s="217"/>
      <c r="C21" s="386" t="s">
        <v>445</v>
      </c>
      <c r="D21" s="1069"/>
      <c r="E21" s="1070"/>
      <c r="F21" s="915"/>
      <c r="G21" s="925"/>
    </row>
    <row r="22" spans="2:7" s="50" customFormat="1" ht="34.35" customHeight="1">
      <c r="B22" s="217"/>
      <c r="C22" s="386" t="s">
        <v>446</v>
      </c>
      <c r="D22" s="1069"/>
      <c r="E22" s="1070"/>
      <c r="F22" s="915"/>
    </row>
    <row r="23" spans="2:7" s="50" customFormat="1" ht="34.35" customHeight="1">
      <c r="B23" s="217"/>
      <c r="C23" s="386" t="s">
        <v>447</v>
      </c>
      <c r="D23" s="1069"/>
      <c r="E23" s="1070"/>
      <c r="F23" s="915"/>
    </row>
    <row r="24" spans="2:7" s="50" customFormat="1" ht="34.35" customHeight="1">
      <c r="B24" s="217"/>
      <c r="C24" s="386" t="s">
        <v>448</v>
      </c>
      <c r="D24" s="1069"/>
      <c r="E24" s="1070"/>
      <c r="F24" s="915"/>
    </row>
    <row r="25" spans="2:7" s="50" customFormat="1" ht="34.35" customHeight="1">
      <c r="B25" s="217"/>
      <c r="C25" s="386" t="s">
        <v>449</v>
      </c>
      <c r="D25" s="1069"/>
      <c r="E25" s="1070"/>
      <c r="F25" s="915"/>
    </row>
    <row r="26" spans="2:7" s="50" customFormat="1" ht="34.35" customHeight="1">
      <c r="B26" s="217"/>
      <c r="C26" s="386" t="s">
        <v>553</v>
      </c>
      <c r="D26" s="1069"/>
      <c r="E26" s="1070"/>
      <c r="F26" s="915" t="s">
        <v>458</v>
      </c>
      <c r="G26" s="915"/>
    </row>
    <row r="27" spans="2:7" s="50" customFormat="1" ht="34.35" customHeight="1">
      <c r="B27" s="217"/>
      <c r="C27" s="386" t="s">
        <v>456</v>
      </c>
      <c r="D27" s="1069"/>
      <c r="E27" s="1070"/>
      <c r="F27" s="915" t="s">
        <v>459</v>
      </c>
      <c r="G27" s="915"/>
    </row>
    <row r="28" spans="2:7" ht="23.25" customHeight="1">
      <c r="B28" s="1091" t="s">
        <v>478</v>
      </c>
      <c r="C28" s="1092"/>
      <c r="D28" s="1092"/>
      <c r="E28" s="1093"/>
      <c r="F28" s="586" t="s">
        <v>431</v>
      </c>
    </row>
    <row r="29" spans="2:7" ht="114" customHeight="1">
      <c r="B29" s="870"/>
      <c r="C29" s="1088" t="s">
        <v>527</v>
      </c>
      <c r="D29" s="1088"/>
      <c r="E29" s="1089"/>
      <c r="F29" s="587" t="s">
        <v>440</v>
      </c>
    </row>
    <row r="30" spans="2:7" ht="13.5" customHeight="1">
      <c r="B30" s="869"/>
      <c r="C30" s="904"/>
      <c r="D30" s="913" t="s">
        <v>20</v>
      </c>
      <c r="E30" s="905"/>
      <c r="F30" s="898"/>
    </row>
    <row r="31" spans="2:7" ht="24.75" customHeight="1">
      <c r="B31" s="869"/>
      <c r="C31" s="904" t="s">
        <v>444</v>
      </c>
      <c r="D31" s="429"/>
      <c r="E31" s="905"/>
      <c r="F31" s="898"/>
    </row>
    <row r="32" spans="2:7" ht="24.75" customHeight="1">
      <c r="B32" s="869"/>
      <c r="C32" s="904" t="s">
        <v>430</v>
      </c>
      <c r="D32" s="429"/>
      <c r="E32" s="905"/>
      <c r="F32" s="898"/>
    </row>
    <row r="33" spans="1:7" ht="47.25" customHeight="1">
      <c r="B33" s="869"/>
      <c r="C33" s="1101" t="s">
        <v>528</v>
      </c>
      <c r="D33" s="1101"/>
      <c r="E33" s="905"/>
      <c r="G33" s="898"/>
    </row>
    <row r="34" spans="1:7" s="50" customFormat="1" ht="36" customHeight="1">
      <c r="A34" s="212"/>
      <c r="B34" s="1094" t="s">
        <v>50</v>
      </c>
      <c r="C34" s="1095"/>
      <c r="D34" s="1095"/>
      <c r="E34" s="1096"/>
      <c r="F34" s="601"/>
    </row>
    <row r="35" spans="1:7" s="912" customFormat="1" ht="27.75" customHeight="1">
      <c r="A35" s="212"/>
      <c r="C35" s="906"/>
      <c r="D35" s="907"/>
    </row>
    <row r="36" spans="1:7" s="912" customFormat="1" ht="12.75" customHeight="1">
      <c r="A36" s="212"/>
      <c r="C36" s="908"/>
      <c r="D36" s="909"/>
    </row>
    <row r="37" spans="1:7" s="912" customFormat="1" ht="15.75">
      <c r="A37" s="212"/>
      <c r="C37" s="908"/>
      <c r="D37" s="909"/>
    </row>
    <row r="38" spans="1:7" s="912" customFormat="1" ht="42" customHeight="1">
      <c r="A38" s="212"/>
      <c r="C38" s="910"/>
      <c r="D38" s="1087"/>
    </row>
    <row r="39" spans="1:7" s="912" customFormat="1">
      <c r="A39" s="212"/>
      <c r="C39" s="911"/>
      <c r="D39" s="1087"/>
    </row>
    <row r="40" spans="1:7" s="912" customFormat="1" ht="12.75" customHeight="1">
      <c r="A40" s="212"/>
      <c r="C40" s="911"/>
      <c r="D40" s="1087"/>
    </row>
    <row r="41" spans="1:7" s="912" customFormat="1" ht="12.75" customHeight="1">
      <c r="A41" s="212"/>
      <c r="C41" s="911"/>
      <c r="D41" s="1087"/>
    </row>
    <row r="42" spans="1:7" s="912" customFormat="1">
      <c r="A42" s="212"/>
      <c r="C42" s="911"/>
      <c r="D42" s="1087"/>
    </row>
    <row r="43" spans="1:7" s="912" customFormat="1" ht="12.75" customHeight="1">
      <c r="A43" s="212"/>
      <c r="C43" s="911"/>
      <c r="D43" s="1087"/>
    </row>
    <row r="44" spans="1:7" s="912" customFormat="1" ht="12.75" customHeight="1">
      <c r="A44" s="212"/>
      <c r="C44" s="911"/>
      <c r="D44" s="1087"/>
    </row>
    <row r="45" spans="1:7" s="912" customFormat="1" ht="12.75" customHeight="1">
      <c r="A45" s="212"/>
      <c r="C45" s="910"/>
      <c r="D45" s="1087"/>
    </row>
    <row r="46" spans="1:7" s="912" customFormat="1">
      <c r="A46" s="212"/>
      <c r="C46" s="911"/>
      <c r="D46" s="1087"/>
    </row>
    <row r="47" spans="1:7" s="912" customFormat="1">
      <c r="A47" s="212"/>
      <c r="C47" s="910"/>
      <c r="D47" s="1087"/>
    </row>
    <row r="48" spans="1:7" s="912" customFormat="1">
      <c r="A48" s="212"/>
      <c r="C48" s="910"/>
      <c r="D48" s="1087"/>
    </row>
    <row r="49" spans="1:5" s="212" customFormat="1" ht="21.75" customHeight="1">
      <c r="B49" s="1090"/>
      <c r="C49" s="1090"/>
      <c r="D49" s="1090"/>
      <c r="E49" s="1090"/>
    </row>
    <row r="50" spans="1:5" s="912" customFormat="1">
      <c r="A50" s="212"/>
    </row>
    <row r="51" spans="1:5" s="912" customFormat="1">
      <c r="A51" s="212"/>
    </row>
    <row r="52" spans="1:5" s="912" customFormat="1" ht="12.75" customHeight="1">
      <c r="A52" s="212"/>
    </row>
    <row r="53" spans="1:5" s="912" customFormat="1">
      <c r="A53" s="212"/>
    </row>
    <row r="54" spans="1:5" s="912" customFormat="1" ht="12.75" customHeight="1">
      <c r="A54" s="212"/>
    </row>
    <row r="55" spans="1:5" s="912" customFormat="1">
      <c r="A55" s="212"/>
    </row>
  </sheetData>
  <mergeCells count="31">
    <mergeCell ref="D38:D48"/>
    <mergeCell ref="C29:E29"/>
    <mergeCell ref="B49:E49"/>
    <mergeCell ref="B28:E28"/>
    <mergeCell ref="B14:E14"/>
    <mergeCell ref="B15:E15"/>
    <mergeCell ref="C17:E17"/>
    <mergeCell ref="C18:E18"/>
    <mergeCell ref="C33:D33"/>
    <mergeCell ref="B34:E34"/>
    <mergeCell ref="B20:E20"/>
    <mergeCell ref="D21:E21"/>
    <mergeCell ref="D22:E22"/>
    <mergeCell ref="D23:E23"/>
    <mergeCell ref="D24:E24"/>
    <mergeCell ref="D25:E25"/>
    <mergeCell ref="D26:E26"/>
    <mergeCell ref="D27:E27"/>
    <mergeCell ref="B1:E1"/>
    <mergeCell ref="B2:E2"/>
    <mergeCell ref="B4:E4"/>
    <mergeCell ref="B5:E5"/>
    <mergeCell ref="D6:E6"/>
    <mergeCell ref="B3:E3"/>
    <mergeCell ref="D7:E7"/>
    <mergeCell ref="D8:E8"/>
    <mergeCell ref="D13:E13"/>
    <mergeCell ref="D12:E12"/>
    <mergeCell ref="D11:E11"/>
    <mergeCell ref="D10:E10"/>
    <mergeCell ref="D9:E9"/>
  </mergeCells>
  <pageMargins left="0.70866141732283472" right="0.70866141732283472" top="0.74803149606299213" bottom="0.74803149606299213" header="0.31496062992125984" footer="0.31496062992125984"/>
  <pageSetup paperSize="9" scale="69" fitToHeight="0" orientation="portrait" r:id="rId1"/>
  <headerFooter>
    <oddFooter>&amp;C&amp;P (&amp;N)</oddFooter>
  </headerFooter>
  <drawing r:id="rId2"/>
  <legacyDrawing r:id="rId3"/>
  <legacyDrawingHF r:id="rId4"/>
  <controls>
    <mc:AlternateContent xmlns:mc="http://schemas.openxmlformats.org/markup-compatibility/2006">
      <mc:Choice Requires="x14">
        <control shapeId="9220" r:id="rId5" name="Control 4">
          <controlPr defaultSize="0" r:id="rId6">
            <anchor moveWithCells="1">
              <from>
                <xdr:col>3</xdr:col>
                <xdr:colOff>0</xdr:colOff>
                <xdr:row>36</xdr:row>
                <xdr:rowOff>0</xdr:rowOff>
              </from>
              <to>
                <xdr:col>3</xdr:col>
                <xdr:colOff>1009650</xdr:colOff>
                <xdr:row>37</xdr:row>
                <xdr:rowOff>28575</xdr:rowOff>
              </to>
            </anchor>
          </controlPr>
        </control>
      </mc:Choice>
      <mc:Fallback>
        <control shapeId="9220" r:id="rId5" name="Control 4"/>
      </mc:Fallback>
    </mc:AlternateContent>
    <mc:AlternateContent xmlns:mc="http://schemas.openxmlformats.org/markup-compatibility/2006">
      <mc:Choice Requires="x14">
        <control shapeId="9219" r:id="rId7" name="Control 3">
          <controlPr defaultSize="0" r:id="rId8">
            <anchor moveWithCells="1">
              <from>
                <xdr:col>3</xdr:col>
                <xdr:colOff>0</xdr:colOff>
                <xdr:row>35</xdr:row>
                <xdr:rowOff>0</xdr:rowOff>
              </from>
              <to>
                <xdr:col>3</xdr:col>
                <xdr:colOff>209550</xdr:colOff>
                <xdr:row>36</xdr:row>
                <xdr:rowOff>66675</xdr:rowOff>
              </to>
            </anchor>
          </controlPr>
        </control>
      </mc:Choice>
      <mc:Fallback>
        <control shapeId="9219" r:id="rId7" name="Control 3"/>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A1:CT68"/>
  <sheetViews>
    <sheetView showGridLines="0" view="pageBreakPreview" zoomScale="115" zoomScaleNormal="100" zoomScaleSheetLayoutView="115" workbookViewId="0">
      <selection activeCell="F1" sqref="F1"/>
    </sheetView>
  </sheetViews>
  <sheetFormatPr defaultColWidth="9.140625" defaultRowHeight="12.75"/>
  <cols>
    <col min="1" max="1" width="4.140625" style="50" customWidth="1"/>
    <col min="2" max="2" width="54.85546875" style="50" customWidth="1"/>
    <col min="3" max="4" width="10.5703125" style="191" customWidth="1"/>
    <col min="5" max="5" width="12.42578125" style="191" customWidth="1"/>
    <col min="6" max="6" width="23.42578125" style="573" customWidth="1"/>
    <col min="7" max="16384" width="9.140625" style="50"/>
  </cols>
  <sheetData>
    <row r="1" spans="1:98" s="384" customFormat="1" ht="14.25" customHeight="1" thickBot="1">
      <c r="A1" s="142"/>
      <c r="B1" s="185"/>
      <c r="C1" s="163"/>
      <c r="D1" s="1111"/>
      <c r="E1" s="1111"/>
      <c r="F1" s="877" t="s">
        <v>550</v>
      </c>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row>
    <row r="2" spans="1:98" s="384" customFormat="1" ht="18" customHeight="1" thickBot="1">
      <c r="A2" s="142"/>
      <c r="B2" s="1112" t="s">
        <v>34</v>
      </c>
      <c r="C2" s="1062"/>
      <c r="D2" s="1062"/>
      <c r="E2" s="1113"/>
      <c r="F2" s="573"/>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row>
    <row r="3" spans="1:98" s="384" customFormat="1" ht="40.5" customHeight="1">
      <c r="A3" s="142"/>
      <c r="B3" s="973" t="s">
        <v>398</v>
      </c>
      <c r="C3" s="974"/>
      <c r="D3" s="974"/>
      <c r="E3" s="974"/>
      <c r="G3" s="544"/>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row>
    <row r="4" spans="1:98" ht="48" customHeight="1">
      <c r="A4" s="142"/>
      <c r="B4" s="1114" t="str">
        <f>CONCATENATE("Fråga 8: Antal abonnemang på fast telefoni (PSTN, ISDN och ip-telefoni[",'Fasta samtalstjänster'!A55,"]). Här avses abonnemang som används dvs har genererat trafik de senaste 3 månaderna. SIP-trunkar ingår inte. Avser ",'Om detta formulär'!C10," :")</f>
        <v>Fråga 8: Antal abonnemang på fast telefoni (PSTN, ISDN och ip-telefoni[1]). Här avses abonnemang som används dvs har genererat trafik de senaste 3 månaderna. SIP-trunkar ingår inte. Avser 31 dec 2019 :</v>
      </c>
      <c r="C4" s="1115"/>
      <c r="D4" s="1115"/>
      <c r="E4" s="1116"/>
      <c r="F4" s="544"/>
      <c r="G4" s="540"/>
      <c r="H4" s="541"/>
    </row>
    <row r="5" spans="1:98" ht="15.95" customHeight="1">
      <c r="A5" s="142"/>
      <c r="B5" s="117"/>
      <c r="C5" s="288" t="s">
        <v>18</v>
      </c>
      <c r="D5" s="288" t="s">
        <v>19</v>
      </c>
      <c r="E5" s="385" t="s">
        <v>20</v>
      </c>
    </row>
    <row r="6" spans="1:98" ht="15.95" customHeight="1">
      <c r="A6" s="142"/>
      <c r="B6" s="386" t="str">
        <f>CONCATENATE("Abonnemang med både telefonaccess och trafik[",'Fasta samtalstjänster'!A56,"]:")</f>
        <v>Abonnemang med både telefonaccess och trafik[2]:</v>
      </c>
      <c r="C6" s="387" t="str">
        <f>IF(SUM(C7:C13)=0," ",SUM(C7:C13))</f>
        <v xml:space="preserve"> </v>
      </c>
      <c r="D6" s="388" t="str">
        <f>IF(SUM(D7:D13)=0," ",SUM(D7:D13))</f>
        <v xml:space="preserve"> </v>
      </c>
      <c r="E6" s="128" t="str">
        <f t="shared" ref="E6:E14" si="0">IF(SUM(C6:D6)=0," ",SUM(C6:D6))</f>
        <v xml:space="preserve"> </v>
      </c>
    </row>
    <row r="7" spans="1:98" ht="15.95" customHeight="1">
      <c r="A7" s="212"/>
      <c r="B7" s="389" t="str">
        <f>CONCATENATE("varav via GTA[",'Fasta samtalstjänster'!A57,"]:")</f>
        <v>varav via GTA[3]:</v>
      </c>
      <c r="C7" s="276"/>
      <c r="D7" s="277"/>
      <c r="E7" s="124" t="str">
        <f t="shared" si="0"/>
        <v xml:space="preserve"> </v>
      </c>
    </row>
    <row r="8" spans="1:98" ht="15.95" customHeight="1">
      <c r="A8" s="142"/>
      <c r="B8" s="389" t="str">
        <f>CONCATENATE("varav via PSTN-access[",'Fasta samtalstjänster'!A58,"]:")</f>
        <v>varav via PSTN-access[4]:</v>
      </c>
      <c r="C8" s="276"/>
      <c r="D8" s="277"/>
      <c r="E8" s="124" t="str">
        <f t="shared" si="0"/>
        <v xml:space="preserve"> </v>
      </c>
    </row>
    <row r="9" spans="1:98" ht="15.95" customHeight="1">
      <c r="A9" s="142"/>
      <c r="B9" s="389" t="str">
        <f>CONCATENATE("varav via ISDN-access[",'Fasta samtalstjänster'!A59,"]:")</f>
        <v>varav via ISDN-access[5]:</v>
      </c>
      <c r="C9" s="276"/>
      <c r="D9" s="277"/>
      <c r="E9" s="124" t="str">
        <f t="shared" si="0"/>
        <v xml:space="preserve"> </v>
      </c>
    </row>
    <row r="10" spans="1:98" ht="15.95" customHeight="1">
      <c r="A10" s="142"/>
      <c r="B10" s="389" t="s">
        <v>63</v>
      </c>
      <c r="C10" s="278"/>
      <c r="D10" s="279"/>
      <c r="E10" s="124" t="str">
        <f t="shared" si="0"/>
        <v xml:space="preserve"> </v>
      </c>
    </row>
    <row r="11" spans="1:98" ht="15.95" customHeight="1">
      <c r="A11" s="142"/>
      <c r="B11" s="389" t="s">
        <v>64</v>
      </c>
      <c r="C11" s="278"/>
      <c r="D11" s="279"/>
      <c r="E11" s="124" t="str">
        <f t="shared" si="0"/>
        <v xml:space="preserve"> </v>
      </c>
    </row>
    <row r="12" spans="1:98" ht="15.95" customHeight="1">
      <c r="A12" s="142"/>
      <c r="B12" s="389" t="str">
        <f>CONCATENATE("varav via LAN-nät-access[",'Fasta samtalstjänster'!A60,"]:")</f>
        <v>varav via LAN-nät-access[6]:</v>
      </c>
      <c r="C12" s="278"/>
      <c r="D12" s="279"/>
      <c r="E12" s="681" t="str">
        <f t="shared" si="0"/>
        <v xml:space="preserve"> </v>
      </c>
    </row>
    <row r="13" spans="1:98" ht="15.95" customHeight="1">
      <c r="A13" s="142"/>
      <c r="B13" s="389" t="str">
        <f>CONCATENATE("varav via annan IP-baserad access [",'Fasta samtalstjänster'!A63,"]:")</f>
        <v>varav via annan IP-baserad access [9]:</v>
      </c>
      <c r="C13" s="278"/>
      <c r="D13" s="279"/>
      <c r="E13" s="681" t="str">
        <f>IF(SUM(C13:D13)=0," ",SUM(C13:D13))</f>
        <v xml:space="preserve"> </v>
      </c>
    </row>
    <row r="14" spans="1:98" ht="15.95" customHeight="1" thickBot="1">
      <c r="A14" s="142"/>
      <c r="B14" s="390" t="str">
        <f>CONCATENATE("Aktiva förvalsabonnemang[",'Fasta samtalstjänster'!A61,"] (avser ej abonnemang via GTA[",'Fasta samtalstjänster'!A57,"]):")</f>
        <v>Aktiva förvalsabonnemang[7] (avser ej abonnemang via GTA[3]):</v>
      </c>
      <c r="C14" s="230"/>
      <c r="D14" s="226"/>
      <c r="E14" s="682" t="str">
        <f t="shared" si="0"/>
        <v xml:space="preserve"> </v>
      </c>
      <c r="F14" s="158"/>
    </row>
    <row r="15" spans="1:98" ht="15.95" customHeight="1" thickTop="1">
      <c r="A15" s="142"/>
      <c r="B15" s="392" t="s">
        <v>129</v>
      </c>
      <c r="C15" s="680" t="str">
        <f>IF(SUM(C7:C14)=0," ",SUM(C7:C14))</f>
        <v xml:space="preserve"> </v>
      </c>
      <c r="D15" s="533" t="str">
        <f>IF(SUM(D7:D14)=0," ",SUM(D7:D14))</f>
        <v xml:space="preserve"> </v>
      </c>
      <c r="E15" s="533" t="str">
        <f>IF(SUM(C15:D15)=0," ",SUM(C15:D15))</f>
        <v xml:space="preserve"> </v>
      </c>
    </row>
    <row r="16" spans="1:98" ht="15.95" customHeight="1" thickBot="1">
      <c r="A16" s="212"/>
      <c r="B16" s="394" t="str">
        <f>CONCATENATE("varav med LLUB[",'Fasta samtalstjänster'!A62,"]:")</f>
        <v>varav med LLUB[8]:</v>
      </c>
      <c r="C16" s="395"/>
      <c r="D16" s="396"/>
      <c r="E16" s="397"/>
      <c r="F16" s="594"/>
    </row>
    <row r="17" spans="1:9" s="196" customFormat="1" ht="30" customHeight="1" thickTop="1">
      <c r="A17" s="568"/>
      <c r="B17" s="824" t="str">
        <f>CONCATENATE("varav abonnemang där samtalskostnaden är inkluderad i en fast månadsavgift[",'Fasta samtalstjänster'!A64,"]:")</f>
        <v>varav abonnemang där samtalskostnaden är inkluderad i en fast månadsavgift[10]:</v>
      </c>
      <c r="C17" s="398"/>
      <c r="D17" s="399"/>
      <c r="E17" s="128" t="str">
        <f>IF(SUM(C17:D17)=0," ",SUM(C17:D17))</f>
        <v xml:space="preserve"> </v>
      </c>
      <c r="F17" s="544" t="s">
        <v>465</v>
      </c>
      <c r="G17" s="264"/>
    </row>
    <row r="18" spans="1:9" s="400" customFormat="1" ht="21.75" customHeight="1">
      <c r="A18" s="142"/>
      <c r="B18" s="1117" t="s">
        <v>46</v>
      </c>
      <c r="C18" s="1118"/>
      <c r="D18" s="1118"/>
      <c r="E18" s="1119"/>
      <c r="F18" s="555"/>
    </row>
    <row r="19" spans="1:9" s="426" customFormat="1" ht="64.5" customHeight="1">
      <c r="A19" s="456"/>
      <c r="B19" s="1120" t="s">
        <v>555</v>
      </c>
      <c r="C19" s="1121"/>
      <c r="D19" s="1121"/>
      <c r="E19" s="1122"/>
      <c r="F19" s="873" t="s">
        <v>479</v>
      </c>
      <c r="I19" s="428"/>
    </row>
    <row r="20" spans="1:9" s="402" customFormat="1" ht="15.95" customHeight="1">
      <c r="A20" s="142"/>
      <c r="B20" s="401"/>
      <c r="C20" s="169"/>
      <c r="D20" s="169"/>
      <c r="E20" s="169"/>
      <c r="F20" s="556"/>
    </row>
    <row r="21" spans="1:9" ht="36" customHeight="1">
      <c r="A21" s="142"/>
      <c r="B21" s="1075" t="str">
        <f>CONCATENATE("Fråga 9: Intäkter (tusentals kronor) för fast telefoni (PSTN, ISDN och ip-telefoni ). Trafik från SIP-trunkar ingår inte. Avser under ",'Om detta formulär'!C6,":")</f>
        <v>Fråga 9: Intäkter (tusentals kronor) för fast telefoni (PSTN, ISDN och ip-telefoni ). Trafik från SIP-trunkar ingår inte. Avser under 2019:</v>
      </c>
      <c r="C21" s="1076"/>
      <c r="D21" s="1076"/>
      <c r="E21" s="1077"/>
      <c r="F21" s="544" t="s">
        <v>480</v>
      </c>
    </row>
    <row r="22" spans="1:9" ht="15.95" customHeight="1">
      <c r="A22" s="142"/>
      <c r="B22" s="291"/>
      <c r="C22" s="341" t="s">
        <v>18</v>
      </c>
      <c r="D22" s="341" t="s">
        <v>19</v>
      </c>
      <c r="E22" s="292" t="s">
        <v>20</v>
      </c>
    </row>
    <row r="23" spans="1:9" ht="15.95" customHeight="1">
      <c r="A23" s="142"/>
      <c r="B23" s="390" t="str">
        <f>CONCATENATE("Abonnemangsavgifter[",'Fasta samtalstjänster'!A65,"]:")</f>
        <v>Abonnemangsavgifter[11]:</v>
      </c>
      <c r="C23" s="387" t="str">
        <f>IF(SUM(C24:C27)=0," ",SUM(C24:C27))</f>
        <v xml:space="preserve"> </v>
      </c>
      <c r="D23" s="388" t="str">
        <f>IF(SUM(D24:D27)=0," ",SUM(D24:D27))</f>
        <v xml:space="preserve"> </v>
      </c>
      <c r="E23" s="128" t="str">
        <f>IF(SUM(C23:D23)=0," ",SUM(C23:D23))</f>
        <v xml:space="preserve"> </v>
      </c>
      <c r="F23" s="544"/>
    </row>
    <row r="24" spans="1:9" ht="15.95" customHeight="1">
      <c r="A24" s="142"/>
      <c r="B24" s="403" t="s">
        <v>174</v>
      </c>
      <c r="C24" s="278"/>
      <c r="D24" s="279"/>
      <c r="E24" s="122" t="str">
        <f t="shared" ref="E24:E31" si="1">IF(SUM(C24:D24)=0," ",SUM(C24:D24))</f>
        <v xml:space="preserve"> </v>
      </c>
    </row>
    <row r="25" spans="1:9" ht="15.95" customHeight="1">
      <c r="A25" s="142"/>
      <c r="B25" s="403" t="s">
        <v>175</v>
      </c>
      <c r="C25" s="278"/>
      <c r="D25" s="279"/>
      <c r="E25" s="122" t="str">
        <f t="shared" si="1"/>
        <v xml:space="preserve"> </v>
      </c>
    </row>
    <row r="26" spans="1:9" ht="15.95" customHeight="1">
      <c r="A26" s="142"/>
      <c r="B26" s="403" t="s">
        <v>183</v>
      </c>
      <c r="C26" s="278"/>
      <c r="D26" s="279"/>
      <c r="E26" s="122" t="str">
        <f t="shared" si="1"/>
        <v xml:space="preserve"> </v>
      </c>
    </row>
    <row r="27" spans="1:9" ht="15.95" customHeight="1">
      <c r="A27" s="142"/>
      <c r="B27" s="403" t="s">
        <v>176</v>
      </c>
      <c r="C27" s="278"/>
      <c r="D27" s="279"/>
      <c r="E27" s="122" t="str">
        <f t="shared" si="1"/>
        <v xml:space="preserve"> </v>
      </c>
    </row>
    <row r="28" spans="1:9">
      <c r="A28" s="142"/>
      <c r="B28" s="404" t="s">
        <v>143</v>
      </c>
      <c r="C28" s="278"/>
      <c r="D28" s="279"/>
      <c r="E28" s="122" t="str">
        <f t="shared" si="1"/>
        <v xml:space="preserve"> </v>
      </c>
    </row>
    <row r="29" spans="1:9" ht="15.95" customHeight="1">
      <c r="A29" s="142"/>
      <c r="B29" s="405" t="str">
        <f>CONCATENATE("Samtal från nationella fasta nät till nationella fasta nät [",'Fasta samtalstjänster'!A66,"]:")</f>
        <v>Samtal från nationella fasta nät till nationella fasta nät [12]:</v>
      </c>
      <c r="C29" s="278"/>
      <c r="D29" s="279"/>
      <c r="E29" s="122" t="str">
        <f t="shared" si="1"/>
        <v xml:space="preserve"> </v>
      </c>
    </row>
    <row r="30" spans="1:9" ht="15.95" customHeight="1">
      <c r="A30" s="569"/>
      <c r="B30" s="407" t="s">
        <v>148</v>
      </c>
      <c r="C30" s="278"/>
      <c r="D30" s="279"/>
      <c r="E30" s="122" t="str">
        <f t="shared" si="1"/>
        <v xml:space="preserve"> </v>
      </c>
      <c r="G30" s="479"/>
    </row>
    <row r="31" spans="1:9" ht="24.75" customHeight="1">
      <c r="A31" s="142"/>
      <c r="B31" s="204" t="s">
        <v>153</v>
      </c>
      <c r="C31" s="278"/>
      <c r="D31" s="279"/>
      <c r="E31" s="122" t="str">
        <f t="shared" si="1"/>
        <v xml:space="preserve"> </v>
      </c>
    </row>
    <row r="32" spans="1:9" ht="15.95" customHeight="1" thickBot="1">
      <c r="A32" s="142"/>
      <c r="B32" s="408" t="str">
        <f>CONCATENATE("Övriga telefonitjänster[",'Fasta samtalstjänster'!A67,"][",'Fasta samtalstjänster'!A68,"]:")</f>
        <v>Övriga telefonitjänster[13][14]:</v>
      </c>
      <c r="C32" s="278"/>
      <c r="D32" s="279"/>
      <c r="E32" s="144" t="str">
        <f>IF(SUM(C32:D32)=0," ",SUM(C32:D32))</f>
        <v xml:space="preserve"> </v>
      </c>
    </row>
    <row r="33" spans="1:7" ht="15.95" customHeight="1" thickTop="1">
      <c r="A33" s="142"/>
      <c r="B33" s="409" t="s">
        <v>21</v>
      </c>
      <c r="C33" s="145" t="str">
        <f>IF(SUM(C23,C28:C31,C32)=0," ",SUM(C23,C28:C31,C32))</f>
        <v xml:space="preserve"> </v>
      </c>
      <c r="D33" s="267" t="str">
        <f>IF(SUM(D23,D28:D31,D32)=0," ",SUM(D23,D28:D31,D32))</f>
        <v xml:space="preserve"> </v>
      </c>
      <c r="E33" s="146" t="str">
        <f>IF(SUM(C33:D33)=0," ",SUM(C33:D33))</f>
        <v xml:space="preserve"> </v>
      </c>
    </row>
    <row r="34" spans="1:7" ht="15.95" customHeight="1">
      <c r="A34" s="142"/>
      <c r="B34" s="410" t="s">
        <v>185</v>
      </c>
      <c r="C34" s="411"/>
      <c r="D34" s="412"/>
      <c r="E34" s="413" t="str">
        <f>IF(SUM(C34:D34)=0," ",SUM(C34:D34))</f>
        <v xml:space="preserve"> </v>
      </c>
      <c r="G34" s="544"/>
    </row>
    <row r="35" spans="1:7" ht="15.95" customHeight="1">
      <c r="A35" s="142"/>
      <c r="B35" s="1108"/>
      <c r="C35" s="1109"/>
      <c r="D35" s="1109"/>
      <c r="E35" s="1110"/>
    </row>
    <row r="36" spans="1:7" ht="36" customHeight="1">
      <c r="A36" s="142"/>
      <c r="B36" s="1075" t="str">
        <f>CONCATENATE("Fråga 10: Antal utgående trafikminuter (i tusental) från slutkund för fast telefoni (PSTN, ISDN och  ip-telefoni). Under ",'Om detta formulär'!C6,":")</f>
        <v>Fråga 10: Antal utgående trafikminuter (i tusental) från slutkund för fast telefoni (PSTN, ISDN och  ip-telefoni). Under 2019:</v>
      </c>
      <c r="C36" s="1076"/>
      <c r="D36" s="1076"/>
      <c r="E36" s="1077"/>
      <c r="F36" s="544" t="s">
        <v>481</v>
      </c>
    </row>
    <row r="37" spans="1:7" ht="15.95" customHeight="1">
      <c r="A37" s="142"/>
      <c r="B37" s="414"/>
      <c r="C37" s="341" t="s">
        <v>18</v>
      </c>
      <c r="D37" s="341" t="s">
        <v>19</v>
      </c>
      <c r="E37" s="292" t="s">
        <v>20</v>
      </c>
      <c r="F37" s="544"/>
    </row>
    <row r="38" spans="1:7" ht="15.95" customHeight="1">
      <c r="A38" s="142"/>
      <c r="B38" s="415" t="str">
        <f>CONCATENATE("Samtal från nationella fasta nät till nationella fasta nät [",'Fasta samtalstjänster'!A66,"]:")</f>
        <v>Samtal från nationella fasta nät till nationella fasta nät [12]:</v>
      </c>
      <c r="C38" s="140"/>
      <c r="D38" s="391"/>
      <c r="E38" s="122" t="str">
        <f t="shared" ref="E38:E43" si="2">IF(SUM(C38:D38)=0," ",SUM(C38:D38))</f>
        <v xml:space="preserve"> </v>
      </c>
    </row>
    <row r="39" spans="1:7" ht="14.25" customHeight="1">
      <c r="A39" s="142"/>
      <c r="B39" s="407" t="s">
        <v>148</v>
      </c>
      <c r="C39" s="276"/>
      <c r="D39" s="279"/>
      <c r="E39" s="122" t="str">
        <f t="shared" si="2"/>
        <v xml:space="preserve"> </v>
      </c>
    </row>
    <row r="40" spans="1:7" ht="27" customHeight="1">
      <c r="A40" s="142"/>
      <c r="B40" s="204" t="s">
        <v>153</v>
      </c>
      <c r="C40" s="278"/>
      <c r="D40" s="141"/>
      <c r="E40" s="122" t="str">
        <f t="shared" si="2"/>
        <v xml:space="preserve"> </v>
      </c>
    </row>
    <row r="41" spans="1:7" ht="15.95" customHeight="1" thickBot="1">
      <c r="A41" s="142"/>
      <c r="B41" s="408" t="str">
        <f>CONCATENATE("Övriga telefonitjänster[",'Fasta samtalstjänster'!A67,"]:")</f>
        <v>Övriga telefonitjänster[13]:</v>
      </c>
      <c r="C41" s="230"/>
      <c r="D41" s="391"/>
      <c r="E41" s="144" t="str">
        <f t="shared" si="2"/>
        <v xml:space="preserve"> </v>
      </c>
    </row>
    <row r="42" spans="1:7" ht="15.95" customHeight="1" thickTop="1">
      <c r="A42" s="142"/>
      <c r="B42" s="409" t="s">
        <v>22</v>
      </c>
      <c r="C42" s="416" t="str">
        <f>IF(SUM(C38:C41)=0," ",SUM(C38:C41))</f>
        <v xml:space="preserve"> </v>
      </c>
      <c r="D42" s="267" t="str">
        <f>IF(SUM(D38:D41)=0," ",SUM(D38:D41))</f>
        <v xml:space="preserve"> </v>
      </c>
      <c r="E42" s="393" t="str">
        <f t="shared" si="2"/>
        <v xml:space="preserve"> </v>
      </c>
    </row>
    <row r="43" spans="1:7" ht="15.95" customHeight="1">
      <c r="A43" s="142"/>
      <c r="B43" s="417" t="s">
        <v>184</v>
      </c>
      <c r="C43" s="411"/>
      <c r="D43" s="412"/>
      <c r="E43" s="413" t="str">
        <f t="shared" si="2"/>
        <v xml:space="preserve"> </v>
      </c>
      <c r="G43" s="544"/>
    </row>
    <row r="44" spans="1:7" ht="15.95" customHeight="1">
      <c r="A44" s="142"/>
      <c r="B44" s="418"/>
      <c r="C44" s="419"/>
      <c r="D44" s="419"/>
      <c r="E44" s="419"/>
    </row>
    <row r="45" spans="1:7" ht="36" customHeight="1">
      <c r="A45" s="142"/>
      <c r="B45" s="1075" t="str">
        <f>CONCATENATE("Fråga 11: Antal utgående samtal (i tusental) från slutkund för fast telefoni (PSTN, ISDN och ip-telefoni). Avser under ",'Om detta formulär'!C6,":")</f>
        <v>Fråga 11: Antal utgående samtal (i tusental) från slutkund för fast telefoni (PSTN, ISDN och ip-telefoni). Avser under 2019:</v>
      </c>
      <c r="C45" s="1076"/>
      <c r="D45" s="1076"/>
      <c r="E45" s="1077"/>
      <c r="F45" s="544" t="s">
        <v>482</v>
      </c>
    </row>
    <row r="46" spans="1:7" ht="15.95" customHeight="1">
      <c r="A46" s="142"/>
      <c r="B46" s="414"/>
      <c r="C46" s="341" t="s">
        <v>18</v>
      </c>
      <c r="D46" s="341" t="s">
        <v>19</v>
      </c>
      <c r="E46" s="292" t="s">
        <v>20</v>
      </c>
    </row>
    <row r="47" spans="1:7" ht="15.95" customHeight="1">
      <c r="A47" s="142"/>
      <c r="B47" s="405" t="str">
        <f>CONCATENATE("Samtal från nationella fasta nät till nationella fasta nät  [",'Fasta samtalstjänster'!A66,"]:")</f>
        <v>Samtal från nationella fasta nät till nationella fasta nät  [12]:</v>
      </c>
      <c r="C47" s="280"/>
      <c r="D47" s="281"/>
      <c r="E47" s="122" t="str">
        <f t="shared" ref="E47:E52" si="3">IF(SUM(C47:D47)=0," ",SUM(C47:D47))</f>
        <v xml:space="preserve"> </v>
      </c>
    </row>
    <row r="48" spans="1:7" ht="15.95" customHeight="1">
      <c r="A48" s="142"/>
      <c r="B48" s="204" t="s">
        <v>148</v>
      </c>
      <c r="C48" s="278"/>
      <c r="D48" s="141"/>
      <c r="E48" s="122" t="str">
        <f t="shared" si="3"/>
        <v xml:space="preserve"> </v>
      </c>
    </row>
    <row r="49" spans="1:7" ht="24.75" customHeight="1">
      <c r="A49" s="142"/>
      <c r="B49" s="203" t="s">
        <v>153</v>
      </c>
      <c r="C49" s="140"/>
      <c r="D49" s="391"/>
      <c r="E49" s="393" t="str">
        <f t="shared" si="3"/>
        <v xml:space="preserve"> </v>
      </c>
    </row>
    <row r="50" spans="1:7" ht="15.95" customHeight="1" thickBot="1">
      <c r="A50" s="142"/>
      <c r="B50" s="421" t="str">
        <f>CONCATENATE("Övriga telefonitjänster[",'Fasta samtalstjänster'!A67,"]:")</f>
        <v>Övriga telefonitjänster[13]:</v>
      </c>
      <c r="C50" s="230"/>
      <c r="D50" s="226"/>
      <c r="E50" s="144" t="str">
        <f t="shared" si="3"/>
        <v xml:space="preserve"> </v>
      </c>
    </row>
    <row r="51" spans="1:7" ht="15.95" customHeight="1" thickTop="1">
      <c r="A51" s="142"/>
      <c r="B51" s="422" t="s">
        <v>0</v>
      </c>
      <c r="C51" s="145" t="str">
        <f>IF(SUM(C47:C50)=0," ",SUM(C47:C50))</f>
        <v xml:space="preserve"> </v>
      </c>
      <c r="D51" s="267" t="str">
        <f>IF(SUM(D47:D50)=0," ",SUM(D47:D50))</f>
        <v xml:space="preserve"> </v>
      </c>
      <c r="E51" s="423" t="str">
        <f t="shared" si="3"/>
        <v xml:space="preserve"> </v>
      </c>
    </row>
    <row r="52" spans="1:7" ht="15.95" customHeight="1">
      <c r="A52" s="142"/>
      <c r="B52" s="417" t="s">
        <v>186</v>
      </c>
      <c r="C52" s="424"/>
      <c r="D52" s="425"/>
      <c r="E52" s="413" t="str">
        <f t="shared" si="3"/>
        <v xml:space="preserve"> </v>
      </c>
      <c r="G52" s="544"/>
    </row>
    <row r="53" spans="1:7" ht="15.95" customHeight="1" thickBot="1">
      <c r="A53" s="142"/>
      <c r="B53" s="779"/>
      <c r="C53" s="148"/>
      <c r="D53" s="148"/>
      <c r="E53" s="825"/>
      <c r="F53" s="544"/>
    </row>
    <row r="54" spans="1:7" s="541" customFormat="1" ht="24" customHeight="1">
      <c r="A54" s="570"/>
      <c r="B54" s="1105" t="s">
        <v>283</v>
      </c>
      <c r="C54" s="1105"/>
      <c r="D54" s="1105"/>
      <c r="E54" s="1105"/>
      <c r="F54" s="540"/>
    </row>
    <row r="55" spans="1:7" ht="42" customHeight="1">
      <c r="A55" s="519">
        <v>1</v>
      </c>
      <c r="B55" s="1106" t="s">
        <v>146</v>
      </c>
      <c r="C55" s="1106"/>
      <c r="D55" s="1106"/>
      <c r="E55" s="1106"/>
    </row>
    <row r="56" spans="1:7" ht="15.75" customHeight="1">
      <c r="A56" s="559">
        <v>2</v>
      </c>
      <c r="B56" s="1107" t="s">
        <v>139</v>
      </c>
      <c r="C56" s="1107"/>
      <c r="D56" s="1107"/>
      <c r="E56" s="1107"/>
    </row>
    <row r="57" spans="1:7" ht="20.45" customHeight="1">
      <c r="A57" s="519">
        <v>3</v>
      </c>
      <c r="B57" s="1102" t="s">
        <v>272</v>
      </c>
      <c r="C57" s="1102"/>
      <c r="D57" s="1102"/>
      <c r="E57" s="1102"/>
      <c r="F57" s="255"/>
    </row>
    <row r="58" spans="1:7" ht="49.35" customHeight="1">
      <c r="A58" s="519">
        <v>4</v>
      </c>
      <c r="B58" s="1102" t="s">
        <v>86</v>
      </c>
      <c r="C58" s="1102"/>
      <c r="D58" s="1102"/>
      <c r="E58" s="1102"/>
    </row>
    <row r="59" spans="1:7" ht="47.45" customHeight="1">
      <c r="A59" s="519">
        <v>5</v>
      </c>
      <c r="B59" s="1102" t="s">
        <v>157</v>
      </c>
      <c r="C59" s="1102"/>
      <c r="D59" s="1102"/>
      <c r="E59" s="1102"/>
    </row>
    <row r="60" spans="1:7" ht="22.5" customHeight="1">
      <c r="A60" s="519">
        <v>6</v>
      </c>
      <c r="B60" s="1102" t="s">
        <v>126</v>
      </c>
      <c r="C60" s="1102"/>
      <c r="D60" s="1102"/>
      <c r="E60" s="1102"/>
    </row>
    <row r="61" spans="1:7" ht="31.5" customHeight="1">
      <c r="A61" s="519">
        <v>7</v>
      </c>
      <c r="B61" s="1102" t="s">
        <v>158</v>
      </c>
      <c r="C61" s="1102"/>
      <c r="D61" s="1102"/>
      <c r="E61" s="1102"/>
    </row>
    <row r="62" spans="1:7" ht="24" customHeight="1">
      <c r="A62" s="519">
        <v>8</v>
      </c>
      <c r="B62" s="1102" t="s">
        <v>203</v>
      </c>
      <c r="C62" s="1102"/>
      <c r="D62" s="1102"/>
      <c r="E62" s="1102"/>
    </row>
    <row r="63" spans="1:7">
      <c r="A63" s="519">
        <v>9</v>
      </c>
      <c r="B63" s="654" t="s">
        <v>147</v>
      </c>
      <c r="C63" s="142"/>
      <c r="D63" s="467"/>
      <c r="E63" s="467"/>
    </row>
    <row r="64" spans="1:7" ht="33.75" customHeight="1">
      <c r="A64" s="559">
        <v>10</v>
      </c>
      <c r="B64" s="1102" t="s">
        <v>402</v>
      </c>
      <c r="C64" s="1102"/>
      <c r="D64" s="1102"/>
      <c r="E64" s="1102"/>
    </row>
    <row r="65" spans="1:5" ht="20.45" customHeight="1">
      <c r="A65" s="559">
        <v>11</v>
      </c>
      <c r="B65" s="1102" t="s">
        <v>199</v>
      </c>
      <c r="C65" s="1102"/>
      <c r="D65" s="1102"/>
      <c r="E65" s="1102"/>
    </row>
    <row r="66" spans="1:5" ht="24" customHeight="1">
      <c r="A66" s="519">
        <v>12</v>
      </c>
      <c r="B66" s="1102" t="s">
        <v>200</v>
      </c>
      <c r="C66" s="1102"/>
      <c r="D66" s="1102"/>
      <c r="E66" s="1102"/>
    </row>
    <row r="67" spans="1:5" ht="57.75" customHeight="1">
      <c r="A67" s="519">
        <v>13</v>
      </c>
      <c r="B67" s="1103" t="s">
        <v>159</v>
      </c>
      <c r="C67" s="1103"/>
      <c r="D67" s="1103"/>
      <c r="E67" s="1103"/>
    </row>
    <row r="68" spans="1:5" ht="20.45" customHeight="1">
      <c r="A68" s="559">
        <v>14</v>
      </c>
      <c r="B68" s="1104" t="s">
        <v>145</v>
      </c>
      <c r="C68" s="1104"/>
      <c r="D68" s="1104"/>
      <c r="E68" s="1104"/>
    </row>
  </sheetData>
  <mergeCells count="24">
    <mergeCell ref="B21:E21"/>
    <mergeCell ref="B35:E35"/>
    <mergeCell ref="B36:E36"/>
    <mergeCell ref="B3:E3"/>
    <mergeCell ref="D1:E1"/>
    <mergeCell ref="B2:E2"/>
    <mergeCell ref="B4:E4"/>
    <mergeCell ref="B18:E18"/>
    <mergeCell ref="B19:E19"/>
    <mergeCell ref="B59:E59"/>
    <mergeCell ref="B66:E66"/>
    <mergeCell ref="B67:E67"/>
    <mergeCell ref="B68:E68"/>
    <mergeCell ref="B45:E45"/>
    <mergeCell ref="B60:E60"/>
    <mergeCell ref="B61:E61"/>
    <mergeCell ref="B62:E62"/>
    <mergeCell ref="B64:E64"/>
    <mergeCell ref="B65:E65"/>
    <mergeCell ref="B54:E54"/>
    <mergeCell ref="B55:E55"/>
    <mergeCell ref="B56:E56"/>
    <mergeCell ref="B57:E57"/>
    <mergeCell ref="B58:E58"/>
  </mergeCells>
  <pageMargins left="0.78740157480314965" right="0.78740157480314965" top="0.39370078740157483" bottom="0.35433070866141736" header="0.43307086614173229" footer="0.23622047244094491"/>
  <pageSetup paperSize="9" scale="94" fitToHeight="0" orientation="portrait" r:id="rId1"/>
  <headerFooter alignWithMargins="0">
    <oddFooter>&amp;CSida &amp;P(&amp;N)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DH88"/>
  <sheetViews>
    <sheetView showGridLines="0" view="pageBreakPreview" zoomScaleNormal="100" zoomScaleSheetLayoutView="100" workbookViewId="0">
      <pane ySplit="2" topLeftCell="A3" activePane="bottomLeft" state="frozen"/>
      <selection activeCell="B24" sqref="B24"/>
      <selection pane="bottomLeft" activeCell="G13" sqref="G13"/>
    </sheetView>
  </sheetViews>
  <sheetFormatPr defaultColWidth="9.140625" defaultRowHeight="12.75"/>
  <cols>
    <col min="1" max="1" width="3" style="50" customWidth="1"/>
    <col min="2" max="2" width="53.5703125" style="50" customWidth="1"/>
    <col min="3" max="6" width="10.5703125" style="191" customWidth="1"/>
    <col min="7" max="7" width="29.140625" style="573" customWidth="1"/>
    <col min="8" max="9" width="9.140625" style="50"/>
    <col min="10" max="10" width="8.5703125" style="50" customWidth="1"/>
    <col min="11" max="16384" width="9.140625" style="50"/>
  </cols>
  <sheetData>
    <row r="1" spans="1:112" ht="14.25" customHeight="1" thickBot="1">
      <c r="A1" s="142"/>
      <c r="B1" s="194"/>
      <c r="C1" s="194"/>
      <c r="D1" s="194"/>
      <c r="E1" s="194"/>
      <c r="F1" s="194"/>
      <c r="G1" s="877" t="s">
        <v>550</v>
      </c>
    </row>
    <row r="2" spans="1:112" s="384" customFormat="1" ht="17.25" customHeight="1" thickBot="1">
      <c r="A2" s="142"/>
      <c r="B2" s="1112" t="s">
        <v>28</v>
      </c>
      <c r="C2" s="1062"/>
      <c r="D2" s="1062"/>
      <c r="E2" s="1062"/>
      <c r="F2" s="571"/>
      <c r="G2" s="573"/>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row>
    <row r="3" spans="1:112" ht="27.75" customHeight="1">
      <c r="A3" s="142"/>
      <c r="B3" s="1114" t="s">
        <v>484</v>
      </c>
      <c r="C3" s="1115"/>
      <c r="D3" s="1115"/>
      <c r="E3" s="1115"/>
      <c r="F3" s="1116"/>
      <c r="G3" s="544" t="s">
        <v>483</v>
      </c>
      <c r="H3" s="540"/>
      <c r="I3" s="541"/>
    </row>
    <row r="4" spans="1:112" ht="12.75" customHeight="1">
      <c r="A4" s="142"/>
      <c r="B4" s="171"/>
      <c r="C4" s="172"/>
      <c r="D4" s="172"/>
      <c r="E4" s="1142" t="s">
        <v>33</v>
      </c>
      <c r="F4" s="1143"/>
    </row>
    <row r="5" spans="1:112" ht="25.5" customHeight="1">
      <c r="A5" s="142"/>
      <c r="B5" s="1144" t="s">
        <v>31</v>
      </c>
      <c r="C5" s="1145"/>
      <c r="D5" s="1146"/>
      <c r="E5" s="1147"/>
      <c r="F5" s="1148"/>
      <c r="G5" s="874"/>
    </row>
    <row r="6" spans="1:112" s="56" customFormat="1" ht="15.75">
      <c r="A6" s="212"/>
      <c r="B6" s="136"/>
      <c r="C6" s="431"/>
      <c r="D6" s="137"/>
      <c r="E6" s="432"/>
      <c r="F6" s="432"/>
      <c r="G6" s="564"/>
    </row>
    <row r="7" spans="1:112" ht="32.25" customHeight="1">
      <c r="A7" s="142"/>
      <c r="B7" s="1075" t="str">
        <f>CONCATENATE("Fråga 13: Samtrafikintäkter[",'Samtrafik i fasta nät'!A53,"] (tusentals kronor) i fasta nät (inkl. koncerninterna intäkter) under ",'Om detta formulär'!C6,":")</f>
        <v>Fråga 13: Samtrafikintäkter[3] (tusentals kronor) i fasta nät (inkl. koncerninterna intäkter) under 2019:</v>
      </c>
      <c r="C7" s="1076"/>
      <c r="D7" s="1076"/>
      <c r="E7" s="1076"/>
      <c r="F7" s="1077"/>
      <c r="G7" s="544" t="s">
        <v>426</v>
      </c>
      <c r="I7" s="826"/>
      <c r="J7" s="826"/>
      <c r="K7" s="826"/>
    </row>
    <row r="8" spans="1:112" ht="38.25" customHeight="1">
      <c r="A8" s="142"/>
      <c r="B8" s="171"/>
      <c r="C8" s="599"/>
      <c r="D8" s="599"/>
      <c r="E8" s="172" t="s">
        <v>20</v>
      </c>
      <c r="F8" s="433" t="s">
        <v>32</v>
      </c>
      <c r="G8" s="557" t="s">
        <v>485</v>
      </c>
    </row>
    <row r="9" spans="1:112" ht="26.25" customHeight="1">
      <c r="A9" s="142"/>
      <c r="B9" s="1152" t="str">
        <f>CONCATENATE("Terminering av inkommande rösttrafik från nationella operatörers nät[",'Samtrafik i fasta nät'!A51,"]:")</f>
        <v>Terminering av inkommande rösttrafik från nationella operatörers nät[1]:</v>
      </c>
      <c r="C9" s="1153"/>
      <c r="D9" s="1153"/>
      <c r="E9" s="655"/>
      <c r="F9" s="697"/>
      <c r="H9" s="264"/>
    </row>
    <row r="10" spans="1:112" ht="18" customHeight="1">
      <c r="A10" s="142"/>
      <c r="B10" s="1156" t="s">
        <v>150</v>
      </c>
      <c r="C10" s="1157"/>
      <c r="D10" s="1158"/>
      <c r="E10" s="948"/>
      <c r="F10" s="434"/>
      <c r="G10" s="544" t="s">
        <v>486</v>
      </c>
    </row>
    <row r="11" spans="1:112" ht="17.100000000000001" customHeight="1">
      <c r="A11" s="142"/>
      <c r="B11" s="1152" t="s">
        <v>29</v>
      </c>
      <c r="C11" s="1153"/>
      <c r="D11" s="1153"/>
      <c r="E11" s="646"/>
      <c r="F11" s="657"/>
      <c r="G11" s="544"/>
    </row>
    <row r="12" spans="1:112" ht="17.100000000000001" customHeight="1">
      <c r="A12" s="142"/>
      <c r="B12" s="1123" t="s">
        <v>407</v>
      </c>
      <c r="C12" s="1124"/>
      <c r="D12" s="1125"/>
      <c r="E12" s="646"/>
      <c r="F12" s="657"/>
      <c r="G12" s="544" t="s">
        <v>437</v>
      </c>
    </row>
    <row r="13" spans="1:112" ht="17.100000000000001" customHeight="1" thickBot="1">
      <c r="A13" s="142"/>
      <c r="B13" s="1159" t="str">
        <f>CONCATENATE("Samtrafikintäkter från originerande trafik[",'Samtrafik i fasta nät'!A53,"]:")</f>
        <v>Samtrafikintäkter från originerande trafik[3]:</v>
      </c>
      <c r="C13" s="1160"/>
      <c r="D13" s="1160"/>
      <c r="E13" s="643"/>
      <c r="F13" s="698"/>
      <c r="H13" s="196"/>
    </row>
    <row r="14" spans="1:112" ht="17.100000000000001" customHeight="1" thickTop="1">
      <c r="A14" s="142"/>
      <c r="B14" s="1161" t="s">
        <v>30</v>
      </c>
      <c r="C14" s="1162"/>
      <c r="D14" s="1163"/>
      <c r="E14" s="145" t="str">
        <f>IF(SUM(E9,E11,E13)=0," ",SUM(E9,E11,E13))</f>
        <v xml:space="preserve"> </v>
      </c>
      <c r="F14" s="680"/>
    </row>
    <row r="15" spans="1:112" ht="17.100000000000001" customHeight="1">
      <c r="A15" s="142"/>
      <c r="B15" s="1149" t="str">
        <f>CONCATENATE("varav intäkter från ip- baserad samtrafik[",'Samtrafik i fasta nät'!A54,"]:")</f>
        <v>varav intäkter från ip- baserad samtrafik[4]:</v>
      </c>
      <c r="C15" s="1150"/>
      <c r="D15" s="1151"/>
      <c r="E15" s="658"/>
      <c r="F15" s="656"/>
    </row>
    <row r="16" spans="1:112" s="51" customFormat="1">
      <c r="A16" s="212"/>
      <c r="B16" s="436"/>
      <c r="C16" s="437"/>
      <c r="D16" s="437"/>
      <c r="E16" s="437"/>
      <c r="F16" s="437"/>
      <c r="G16" s="808"/>
    </row>
    <row r="17" spans="1:8" ht="34.5" customHeight="1">
      <c r="A17" s="142"/>
      <c r="B17" s="1075" t="str">
        <f>CONCATENATE("Fråga 14: Antal  samtrafikminuter (i tusental) i fasta nät (inkl. koncernintern trafik) under ",'Om detta formulär'!C6,":")</f>
        <v>Fråga 14: Antal  samtrafikminuter (i tusental) i fasta nät (inkl. koncernintern trafik) under 2019:</v>
      </c>
      <c r="C17" s="1076"/>
      <c r="D17" s="1076"/>
      <c r="E17" s="1076"/>
      <c r="F17" s="1077"/>
      <c r="G17" s="264" t="s">
        <v>426</v>
      </c>
    </row>
    <row r="18" spans="1:8" ht="43.5" customHeight="1">
      <c r="A18" s="142"/>
      <c r="B18" s="420"/>
      <c r="C18" s="599"/>
      <c r="D18" s="599"/>
      <c r="E18" s="172" t="s">
        <v>20</v>
      </c>
      <c r="F18" s="433" t="s">
        <v>32</v>
      </c>
      <c r="G18" s="557" t="s">
        <v>487</v>
      </c>
    </row>
    <row r="19" spans="1:8" ht="15.75" customHeight="1">
      <c r="A19" s="142"/>
      <c r="B19" s="1152" t="str">
        <f>CONCATENATE("Antal terminerade trafikminuter från nationella operatörers nät[",'Samtrafik i fasta nät'!A51,"]:")</f>
        <v>Antal terminerade trafikminuter från nationella operatörers nät[1]:</v>
      </c>
      <c r="C19" s="1153"/>
      <c r="D19" s="1153"/>
      <c r="E19" s="659"/>
      <c r="F19" s="697"/>
      <c r="G19" s="544"/>
      <c r="H19" s="264"/>
    </row>
    <row r="20" spans="1:8" ht="15.95" customHeight="1">
      <c r="A20" s="142"/>
      <c r="B20" s="945" t="s">
        <v>151</v>
      </c>
      <c r="C20" s="946"/>
      <c r="D20" s="946"/>
      <c r="E20" s="947"/>
      <c r="F20" s="435"/>
      <c r="G20" s="544" t="s">
        <v>435</v>
      </c>
    </row>
    <row r="21" spans="1:8" ht="15.6" customHeight="1">
      <c r="A21" s="142"/>
      <c r="B21" s="1154" t="s">
        <v>1</v>
      </c>
      <c r="C21" s="1155" t="s">
        <v>25</v>
      </c>
      <c r="D21" s="1155" t="s">
        <v>25</v>
      </c>
      <c r="E21" s="646"/>
      <c r="F21" s="435"/>
    </row>
    <row r="22" spans="1:8" ht="15.6" customHeight="1">
      <c r="A22" s="142"/>
      <c r="B22" s="1123" t="s">
        <v>432</v>
      </c>
      <c r="C22" s="1124"/>
      <c r="D22" s="1125"/>
      <c r="E22" s="646"/>
      <c r="F22" s="841"/>
      <c r="G22" s="544" t="s">
        <v>436</v>
      </c>
    </row>
    <row r="23" spans="1:8" ht="15.6" customHeight="1" thickBot="1">
      <c r="A23" s="142"/>
      <c r="B23" s="641" t="str">
        <f>CONCATENATE("Antal trafikminuter från originerade trafik[",'Samtrafik i fasta nät'!A53,"]:")</f>
        <v>Antal trafikminuter från originerade trafik[3]:</v>
      </c>
      <c r="C23" s="642"/>
      <c r="D23" s="642"/>
      <c r="E23" s="643"/>
      <c r="F23" s="180"/>
      <c r="H23" s="196"/>
    </row>
    <row r="24" spans="1:8" ht="15.95" customHeight="1" thickTop="1">
      <c r="A24" s="142"/>
      <c r="B24" s="117" t="s">
        <v>39</v>
      </c>
      <c r="C24" s="639"/>
      <c r="D24" s="639"/>
      <c r="E24" s="145" t="str">
        <f>IF(SUM(E19,E21,E23)=0," ",SUM(E19,E21,E23))</f>
        <v xml:space="preserve"> </v>
      </c>
      <c r="F24" s="145"/>
    </row>
    <row r="25" spans="1:8" ht="15.95" customHeight="1">
      <c r="A25" s="142"/>
      <c r="B25" s="645" t="str">
        <f>CONCATENATE("varav antal minuter via paketförmedlad samtrafik[",'Samtrafik i fasta nät'!A54,"]:")</f>
        <v>varav antal minuter via paketförmedlad samtrafik[4]:</v>
      </c>
      <c r="C25" s="644"/>
      <c r="D25" s="640"/>
      <c r="E25" s="439"/>
      <c r="F25" s="440"/>
      <c r="H25" s="196"/>
    </row>
    <row r="26" spans="1:8" s="51" customFormat="1" ht="15.95" customHeight="1">
      <c r="A26" s="142"/>
      <c r="B26" s="441"/>
      <c r="C26" s="442"/>
      <c r="D26" s="442"/>
      <c r="E26" s="442"/>
      <c r="F26" s="442"/>
      <c r="G26" s="808"/>
      <c r="H26" s="891"/>
    </row>
    <row r="27" spans="1:8" s="406" customFormat="1" ht="30.75" customHeight="1">
      <c r="A27" s="569"/>
      <c r="B27" s="1075" t="str">
        <f>CONCATENATE("Fråga 15: Antal terminerade trafikminuter (i tusental) från egna kunder (inkl. terminerad trafik inom eget nät).  Avser under ",'Om detta formulär'!C6,":")</f>
        <v>Fråga 15: Antal terminerade trafikminuter (i tusental) från egna kunder (inkl. terminerad trafik inom eget nät).  Avser under 2019:</v>
      </c>
      <c r="C27" s="1076"/>
      <c r="D27" s="1076"/>
      <c r="E27" s="1076"/>
      <c r="F27" s="1077"/>
      <c r="G27" s="557" t="s">
        <v>488</v>
      </c>
      <c r="H27" s="264"/>
    </row>
    <row r="28" spans="1:8" ht="15.95" customHeight="1">
      <c r="A28" s="142"/>
      <c r="B28" s="291"/>
      <c r="C28" s="341"/>
      <c r="D28" s="341" t="s">
        <v>25</v>
      </c>
      <c r="E28" s="1130" t="s">
        <v>20</v>
      </c>
      <c r="F28" s="1131"/>
    </row>
    <row r="29" spans="1:8" ht="15.95" customHeight="1">
      <c r="A29" s="142"/>
      <c r="B29" s="443" t="s">
        <v>40</v>
      </c>
      <c r="C29" s="181"/>
      <c r="D29" s="181"/>
      <c r="E29" s="1132"/>
      <c r="F29" s="1133"/>
    </row>
    <row r="30" spans="1:8" ht="15.95" customHeight="1">
      <c r="A30" s="142"/>
      <c r="B30" s="942" t="s">
        <v>152</v>
      </c>
      <c r="C30" s="943"/>
      <c r="D30" s="944"/>
      <c r="E30" s="1134"/>
      <c r="F30" s="1135"/>
      <c r="G30" s="544" t="s">
        <v>435</v>
      </c>
    </row>
    <row r="31" spans="1:8" ht="15.95" customHeight="1">
      <c r="A31" s="142"/>
      <c r="B31" s="185"/>
      <c r="C31" s="430"/>
      <c r="D31" s="430"/>
      <c r="E31" s="430"/>
      <c r="F31" s="430"/>
    </row>
    <row r="32" spans="1:8" ht="37.5" customHeight="1">
      <c r="A32" s="142"/>
      <c r="B32" s="1075" t="str">
        <f>CONCATENATE("Fråga 16: Originerande trafikminuter (i tusental) i eget fastnät[",'Samtrafik i fasta nät'!A55,"] som går via direktförbindelse[",'Samtrafik i fasta nät'!A56,"]. Ange de tre största, och resten under Övriga.  Under ",'Om detta formulär'!C6,":")</f>
        <v>Fråga 16: Originerande trafikminuter (i tusental) i eget fastnät[5] som går via direktförbindelse[6]. Ange de tre största, och resten under Övriga.  Under 2019:</v>
      </c>
      <c r="C32" s="1076"/>
      <c r="D32" s="1076"/>
      <c r="E32" s="1076"/>
      <c r="F32" s="1077"/>
      <c r="G32" s="557" t="s">
        <v>489</v>
      </c>
    </row>
    <row r="33" spans="1:9" ht="19.5" customHeight="1">
      <c r="A33" s="142"/>
      <c r="B33" s="444"/>
      <c r="C33" s="445"/>
      <c r="D33" s="1136" t="s">
        <v>65</v>
      </c>
      <c r="E33" s="1136"/>
      <c r="F33" s="1137"/>
      <c r="H33" s="894"/>
    </row>
    <row r="34" spans="1:9" ht="12.75" customHeight="1">
      <c r="A34" s="142"/>
      <c r="B34" s="446" t="s">
        <v>58</v>
      </c>
      <c r="C34" s="431"/>
      <c r="D34" s="172" t="s">
        <v>66</v>
      </c>
      <c r="E34" s="526" t="s">
        <v>67</v>
      </c>
      <c r="F34" s="385" t="s">
        <v>20</v>
      </c>
    </row>
    <row r="35" spans="1:9" ht="15.95" customHeight="1">
      <c r="A35" s="142"/>
      <c r="B35" s="1138"/>
      <c r="C35" s="1139"/>
      <c r="D35" s="287"/>
      <c r="E35" s="189"/>
      <c r="F35" s="274" t="str">
        <f t="shared" ref="F35:F39" si="0">IF(SUM(D35:E35)=0," ",SUM(D35:E35))</f>
        <v xml:space="preserve"> </v>
      </c>
    </row>
    <row r="36" spans="1:9" ht="15.95" customHeight="1">
      <c r="A36" s="142"/>
      <c r="B36" s="1138"/>
      <c r="C36" s="1139"/>
      <c r="D36" s="447"/>
      <c r="E36" s="189"/>
      <c r="F36" s="448" t="str">
        <f t="shared" si="0"/>
        <v xml:space="preserve"> </v>
      </c>
    </row>
    <row r="37" spans="1:9" ht="15.95" customHeight="1">
      <c r="A37" s="142"/>
      <c r="B37" s="1138"/>
      <c r="C37" s="1139"/>
      <c r="D37" s="447"/>
      <c r="E37" s="189"/>
      <c r="F37" s="448" t="str">
        <f t="shared" si="0"/>
        <v xml:space="preserve"> </v>
      </c>
    </row>
    <row r="38" spans="1:9" ht="15.95" customHeight="1">
      <c r="A38" s="142"/>
      <c r="B38" s="1140" t="s">
        <v>403</v>
      </c>
      <c r="C38" s="1141"/>
      <c r="D38" s="447"/>
      <c r="E38" s="189"/>
      <c r="F38" s="448" t="str">
        <f t="shared" si="0"/>
        <v xml:space="preserve"> </v>
      </c>
      <c r="G38" s="544" t="s">
        <v>408</v>
      </c>
    </row>
    <row r="39" spans="1:9" ht="15.95" customHeight="1">
      <c r="A39" s="142"/>
      <c r="B39" s="1128" t="s">
        <v>404</v>
      </c>
      <c r="C39" s="1129"/>
      <c r="D39" s="447"/>
      <c r="E39" s="189"/>
      <c r="F39" s="448" t="str">
        <f t="shared" si="0"/>
        <v xml:space="preserve"> </v>
      </c>
      <c r="G39" s="544"/>
    </row>
    <row r="40" spans="1:9" s="51" customFormat="1" ht="15.95" customHeight="1">
      <c r="A40" s="142"/>
      <c r="B40" s="449"/>
      <c r="C40" s="449"/>
      <c r="D40" s="131"/>
      <c r="E40" s="528"/>
      <c r="F40" s="131"/>
      <c r="G40" s="875"/>
    </row>
    <row r="41" spans="1:9" ht="40.5" customHeight="1">
      <c r="A41" s="142"/>
      <c r="B41" s="1075" t="str">
        <f>CONCATENATE("Fråga 17: Originerande trafikminuter (i tusental) i eget fastnät som går via transitsoperatör[",'Samtrafik i fasta nät'!A57,"] vidare till terminerande operatör[",'Samtrafik i fasta nät'!A58,"] under ",'Om detta formulär'!C6,":")</f>
        <v>Fråga 17: Originerande trafikminuter (i tusental) i eget fastnät som går via transitsoperatör[7] vidare till terminerande operatör[8] under 2019:</v>
      </c>
      <c r="C41" s="1076"/>
      <c r="D41" s="1076"/>
      <c r="E41" s="1077"/>
      <c r="F41" s="1077"/>
      <c r="G41" s="557" t="s">
        <v>490</v>
      </c>
      <c r="I41" s="503"/>
    </row>
    <row r="42" spans="1:9" ht="15.95" customHeight="1">
      <c r="A42" s="142"/>
      <c r="B42" s="444"/>
      <c r="C42" s="445"/>
      <c r="D42" s="1136" t="s">
        <v>68</v>
      </c>
      <c r="E42" s="1136"/>
      <c r="F42" s="1137"/>
      <c r="H42" s="894"/>
    </row>
    <row r="43" spans="1:9" ht="15.95" customHeight="1">
      <c r="A43" s="142"/>
      <c r="B43" s="450" t="s">
        <v>58</v>
      </c>
      <c r="C43" s="169"/>
      <c r="D43" s="451" t="s">
        <v>66</v>
      </c>
      <c r="E43" s="451" t="s">
        <v>67</v>
      </c>
      <c r="F43" s="213" t="s">
        <v>20</v>
      </c>
    </row>
    <row r="44" spans="1:9" ht="15.95" customHeight="1">
      <c r="A44" s="142"/>
      <c r="B44" s="1138"/>
      <c r="C44" s="1139"/>
      <c r="D44" s="452"/>
      <c r="E44" s="453"/>
      <c r="F44" s="448" t="str">
        <f t="shared" ref="F44:F46" si="1">IF(SUM(D44:E44)=0," ",SUM(D44:E44))</f>
        <v xml:space="preserve"> </v>
      </c>
    </row>
    <row r="45" spans="1:9" ht="15.95" customHeight="1">
      <c r="A45" s="142"/>
      <c r="B45" s="1138"/>
      <c r="C45" s="1139"/>
      <c r="D45" s="447"/>
      <c r="E45" s="189"/>
      <c r="F45" s="454" t="str">
        <f t="shared" si="1"/>
        <v xml:space="preserve"> </v>
      </c>
    </row>
    <row r="46" spans="1:9" ht="15.95" customHeight="1">
      <c r="A46" s="142"/>
      <c r="B46" s="1138"/>
      <c r="C46" s="1139"/>
      <c r="D46" s="447"/>
      <c r="E46" s="189"/>
      <c r="F46" s="454" t="str">
        <f t="shared" si="1"/>
        <v xml:space="preserve"> </v>
      </c>
    </row>
    <row r="47" spans="1:9" ht="15.95" customHeight="1">
      <c r="A47" s="142"/>
      <c r="B47" s="1140" t="s">
        <v>403</v>
      </c>
      <c r="C47" s="1141"/>
      <c r="D47" s="447"/>
      <c r="E47" s="189"/>
      <c r="F47" s="448" t="str">
        <f t="shared" ref="F47:F48" si="2">IF(SUM(D47:E47)=0," ",SUM(D47:E47))</f>
        <v xml:space="preserve"> </v>
      </c>
      <c r="G47" s="544" t="s">
        <v>408</v>
      </c>
    </row>
    <row r="48" spans="1:9" ht="15.95" customHeight="1">
      <c r="A48" s="142"/>
      <c r="B48" s="1128" t="s">
        <v>404</v>
      </c>
      <c r="C48" s="1129"/>
      <c r="D48" s="447"/>
      <c r="E48" s="189"/>
      <c r="F48" s="448" t="str">
        <f t="shared" si="2"/>
        <v xml:space="preserve"> </v>
      </c>
      <c r="G48" s="544"/>
    </row>
    <row r="49" spans="1:7" s="51" customFormat="1" ht="15.95" customHeight="1">
      <c r="A49" s="142"/>
      <c r="B49" s="449"/>
      <c r="C49" s="449"/>
      <c r="D49" s="131"/>
      <c r="E49" s="131"/>
      <c r="F49" s="131"/>
      <c r="G49" s="808"/>
    </row>
    <row r="50" spans="1:7" ht="15.75">
      <c r="A50" s="1126" t="s">
        <v>283</v>
      </c>
      <c r="B50" s="1127"/>
      <c r="C50" s="1127"/>
      <c r="D50" s="1127"/>
      <c r="E50" s="1127"/>
      <c r="F50" s="1127"/>
    </row>
    <row r="51" spans="1:7" ht="25.5" customHeight="1">
      <c r="A51" s="65">
        <v>1</v>
      </c>
      <c r="B51" s="1165" t="s">
        <v>88</v>
      </c>
      <c r="C51" s="1165"/>
      <c r="D51" s="1165"/>
      <c r="E51" s="1165"/>
      <c r="F51" s="1165"/>
    </row>
    <row r="52" spans="1:7" ht="85.5" customHeight="1">
      <c r="A52" s="65">
        <v>2</v>
      </c>
      <c r="B52" s="1164" t="s">
        <v>89</v>
      </c>
      <c r="C52" s="1164"/>
      <c r="D52" s="1164"/>
      <c r="E52" s="1164"/>
      <c r="F52" s="1164"/>
    </row>
    <row r="53" spans="1:7" ht="25.5" customHeight="1">
      <c r="A53" s="65">
        <v>3</v>
      </c>
      <c r="B53" s="1164" t="s">
        <v>286</v>
      </c>
      <c r="C53" s="1164"/>
      <c r="D53" s="1164"/>
      <c r="E53" s="1164"/>
      <c r="F53" s="1164"/>
    </row>
    <row r="54" spans="1:7" ht="42" customHeight="1">
      <c r="A54" s="65">
        <v>4</v>
      </c>
      <c r="B54" s="1164" t="s">
        <v>101</v>
      </c>
      <c r="C54" s="1164"/>
      <c r="D54" s="1164"/>
      <c r="E54" s="1164"/>
      <c r="F54" s="1164"/>
    </row>
    <row r="55" spans="1:7" ht="36.75" customHeight="1">
      <c r="A55" s="65">
        <v>5</v>
      </c>
      <c r="B55" s="1164" t="s">
        <v>102</v>
      </c>
      <c r="C55" s="1164"/>
      <c r="D55" s="1164"/>
      <c r="E55" s="1164"/>
      <c r="F55" s="1164"/>
    </row>
    <row r="56" spans="1:7" ht="35.25" customHeight="1">
      <c r="A56" s="65">
        <v>6</v>
      </c>
      <c r="B56" s="1164" t="s">
        <v>103</v>
      </c>
      <c r="C56" s="1164"/>
      <c r="D56" s="1164"/>
      <c r="E56" s="1164"/>
      <c r="F56" s="1164"/>
    </row>
    <row r="57" spans="1:7" ht="38.25" customHeight="1">
      <c r="A57" s="65">
        <v>7</v>
      </c>
      <c r="B57" s="1164" t="s">
        <v>410</v>
      </c>
      <c r="C57" s="1164"/>
      <c r="D57" s="1164"/>
      <c r="E57" s="1164"/>
      <c r="F57" s="1164"/>
      <c r="G57" s="573" t="s">
        <v>409</v>
      </c>
    </row>
    <row r="58" spans="1:7" ht="38.25" customHeight="1">
      <c r="A58" s="65">
        <v>8</v>
      </c>
      <c r="B58" s="1164" t="s">
        <v>105</v>
      </c>
      <c r="C58" s="1164"/>
      <c r="D58" s="1164"/>
      <c r="E58" s="1164"/>
      <c r="F58" s="1164"/>
    </row>
    <row r="59" spans="1:7">
      <c r="B59" s="191"/>
    </row>
    <row r="60" spans="1:7">
      <c r="B60" s="191"/>
    </row>
    <row r="61" spans="1:7">
      <c r="B61" s="191"/>
    </row>
    <row r="62" spans="1:7">
      <c r="B62" s="191"/>
    </row>
    <row r="63" spans="1:7">
      <c r="B63" s="191"/>
    </row>
    <row r="64" spans="1:7">
      <c r="B64" s="191"/>
    </row>
    <row r="65" spans="2:2">
      <c r="B65" s="191"/>
    </row>
    <row r="66" spans="2:2">
      <c r="B66" s="191"/>
    </row>
    <row r="67" spans="2:2">
      <c r="B67" s="191"/>
    </row>
    <row r="68" spans="2:2">
      <c r="B68" s="191"/>
    </row>
    <row r="69" spans="2:2">
      <c r="B69" s="191"/>
    </row>
    <row r="70" spans="2:2">
      <c r="B70" s="191"/>
    </row>
    <row r="71" spans="2:2">
      <c r="B71" s="191"/>
    </row>
    <row r="72" spans="2:2">
      <c r="B72" s="191"/>
    </row>
    <row r="73" spans="2:2">
      <c r="B73" s="191"/>
    </row>
    <row r="74" spans="2:2">
      <c r="B74" s="191"/>
    </row>
    <row r="75" spans="2:2">
      <c r="B75" s="191"/>
    </row>
    <row r="76" spans="2:2">
      <c r="B76" s="191"/>
    </row>
    <row r="77" spans="2:2">
      <c r="B77" s="191"/>
    </row>
    <row r="78" spans="2:2">
      <c r="B78" s="191"/>
    </row>
    <row r="79" spans="2:2">
      <c r="B79" s="191"/>
    </row>
    <row r="80" spans="2:2">
      <c r="B80" s="191"/>
    </row>
    <row r="81" spans="2:2">
      <c r="B81" s="191"/>
    </row>
    <row r="82" spans="2:2">
      <c r="B82" s="191"/>
    </row>
    <row r="83" spans="2:2">
      <c r="B83" s="191"/>
    </row>
    <row r="84" spans="2:2">
      <c r="B84" s="191"/>
    </row>
    <row r="85" spans="2:2">
      <c r="B85" s="191"/>
    </row>
    <row r="86" spans="2:2">
      <c r="B86" s="191"/>
    </row>
    <row r="87" spans="2:2">
      <c r="B87" s="191"/>
    </row>
    <row r="88" spans="2:2">
      <c r="B88" s="191"/>
    </row>
  </sheetData>
  <mergeCells count="44">
    <mergeCell ref="B56:F56"/>
    <mergeCell ref="B57:F57"/>
    <mergeCell ref="B58:F58"/>
    <mergeCell ref="B51:F51"/>
    <mergeCell ref="B52:F52"/>
    <mergeCell ref="B53:F53"/>
    <mergeCell ref="B54:F54"/>
    <mergeCell ref="B55:F55"/>
    <mergeCell ref="B15:D15"/>
    <mergeCell ref="B19:D19"/>
    <mergeCell ref="B21:D21"/>
    <mergeCell ref="B9:D9"/>
    <mergeCell ref="B10:D10"/>
    <mergeCell ref="B11:D11"/>
    <mergeCell ref="B13:D13"/>
    <mergeCell ref="B14:D14"/>
    <mergeCell ref="B12:D12"/>
    <mergeCell ref="B48:C48"/>
    <mergeCell ref="B41:F41"/>
    <mergeCell ref="D42:F42"/>
    <mergeCell ref="B44:C44"/>
    <mergeCell ref="B45:C45"/>
    <mergeCell ref="B46:C46"/>
    <mergeCell ref="B2:E2"/>
    <mergeCell ref="B3:F3"/>
    <mergeCell ref="E4:F4"/>
    <mergeCell ref="B5:D5"/>
    <mergeCell ref="E5:F5"/>
    <mergeCell ref="B22:D22"/>
    <mergeCell ref="A50:F50"/>
    <mergeCell ref="B7:F7"/>
    <mergeCell ref="B39:C39"/>
    <mergeCell ref="B17:F17"/>
    <mergeCell ref="B27:F27"/>
    <mergeCell ref="E28:F28"/>
    <mergeCell ref="E29:F29"/>
    <mergeCell ref="E30:F30"/>
    <mergeCell ref="B32:F32"/>
    <mergeCell ref="D33:F33"/>
    <mergeCell ref="B35:C35"/>
    <mergeCell ref="B36:C36"/>
    <mergeCell ref="B37:C37"/>
    <mergeCell ref="B38:C38"/>
    <mergeCell ref="B47:C47"/>
  </mergeCells>
  <dataValidations count="1">
    <dataValidation type="list" allowBlank="1" showInputMessage="1" showErrorMessage="1" sqref="E5:F6">
      <formula1>"Ja,Nej"</formula1>
    </dataValidation>
  </dataValidations>
  <pageMargins left="0.78740157480314965" right="0.78740157480314965" top="0.39370078740157483" bottom="0.43307086614173229" header="0.43307086614173229" footer="0.23622047244094491"/>
  <pageSetup paperSize="9" scale="88" fitToHeight="0" orientation="portrait" r:id="rId1"/>
  <headerFooter alignWithMargins="0">
    <oddFooter>&amp;CSida &amp;P(&amp;N)</oddFooter>
  </headerFooter>
  <rowBreaks count="1" manualBreakCount="1">
    <brk id="30"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AK196"/>
  <sheetViews>
    <sheetView showGridLines="0" tabSelected="1" view="pageBreakPreview" zoomScaleNormal="100" zoomScaleSheetLayoutView="100" workbookViewId="0">
      <pane ySplit="2" topLeftCell="A44" activePane="bottomLeft" state="frozen"/>
      <selection activeCell="B24" sqref="B24"/>
      <selection pane="bottomLeft" activeCell="G49" sqref="G49"/>
    </sheetView>
  </sheetViews>
  <sheetFormatPr defaultColWidth="9.140625" defaultRowHeight="12.75"/>
  <cols>
    <col min="1" max="1" width="4.42578125" style="142" customWidth="1"/>
    <col min="2" max="2" width="60.42578125" style="50" customWidth="1"/>
    <col min="3" max="3" width="12.42578125" style="158" bestFit="1" customWidth="1"/>
    <col min="4" max="4" width="10.5703125" style="158" customWidth="1"/>
    <col min="5" max="5" width="11" style="158" customWidth="1"/>
    <col min="6" max="6" width="21.5703125" style="890" customWidth="1"/>
    <col min="7" max="7" width="23.140625" style="501" customWidth="1"/>
    <col min="8" max="16384" width="9.140625" style="116"/>
  </cols>
  <sheetData>
    <row r="1" spans="1:21" s="51" customFormat="1" ht="12" customHeight="1" thickBot="1">
      <c r="A1" s="142"/>
      <c r="B1" s="113"/>
      <c r="C1" s="114"/>
      <c r="D1" s="1188"/>
      <c r="E1" s="1188"/>
      <c r="F1" s="877" t="s">
        <v>550</v>
      </c>
      <c r="G1" s="50"/>
    </row>
    <row r="2" spans="1:21" s="51" customFormat="1" ht="18" customHeight="1">
      <c r="A2" s="142"/>
      <c r="B2" s="1105" t="s">
        <v>94</v>
      </c>
      <c r="C2" s="1105"/>
      <c r="D2" s="1105"/>
      <c r="E2" s="1105"/>
      <c r="F2" s="573"/>
      <c r="G2" s="264"/>
      <c r="H2" s="50"/>
    </row>
    <row r="3" spans="1:21" s="51" customFormat="1" ht="9.75" customHeight="1">
      <c r="A3" s="142"/>
      <c r="B3" s="561"/>
      <c r="C3" s="290"/>
      <c r="D3" s="290"/>
      <c r="E3" s="290"/>
      <c r="F3" s="540"/>
      <c r="G3" s="540"/>
      <c r="H3" s="541"/>
    </row>
    <row r="4" spans="1:21" s="51" customFormat="1" ht="49.5" customHeight="1">
      <c r="A4" s="142"/>
      <c r="B4" s="973" t="s">
        <v>494</v>
      </c>
      <c r="C4" s="974"/>
      <c r="D4" s="974"/>
      <c r="E4" s="974"/>
      <c r="F4" s="360"/>
      <c r="G4" s="875"/>
    </row>
    <row r="5" spans="1:21" ht="48.75" customHeight="1">
      <c r="B5" s="1075" t="str">
        <f>CONCATENATE("Fråga 18: Antal aktiva abonnemang[",'Mobila samtalstj.'!A147,"] på mobil telefoni och mobil data (exkluderar abonnemang för kunder till tjänstetillhandahållare som ej ägs av operatör, dvs. indirekt anslutna kunder[",'Mobila samtalstj.'!A148,"]). Fördelat på abonnemangsform den ",'Om detta formulär'!C10,":")</f>
        <v>Fråga 18: Antal aktiva abonnemang[1] på mobil telefoni och mobil data (exkluderar abonnemang för kunder till tjänstetillhandahållare som ej ägs av operatör, dvs. indirekt anslutna kunder[2]). Fördelat på abonnemangsform den 31 dec 2019:</v>
      </c>
      <c r="C5" s="1076"/>
      <c r="D5" s="1076"/>
      <c r="E5" s="1077"/>
      <c r="F5" s="557" t="s">
        <v>491</v>
      </c>
    </row>
    <row r="6" spans="1:21" ht="12.75" customHeight="1">
      <c r="B6" s="117"/>
      <c r="C6" s="118" t="s">
        <v>18</v>
      </c>
      <c r="D6" s="118" t="s">
        <v>19</v>
      </c>
      <c r="E6" s="119" t="s">
        <v>20</v>
      </c>
      <c r="F6" s="878"/>
    </row>
    <row r="7" spans="1:21" ht="16.5" customHeight="1">
      <c r="B7" s="120" t="str">
        <f>CONCATENATE("Antal mobiltelefoniabonnemang [",'Mobila samtalstj.'!A147,"] för enbart samtaltjänster [",'Mobila samtalstj.'!A149,"]:")</f>
        <v>Antal mobiltelefoniabonnemang [1] för enbart samtaltjänster [3]:</v>
      </c>
      <c r="C7" s="244" t="str">
        <f>IF(SUM(C8:C9)=0," ",SUM(C8:C9))</f>
        <v xml:space="preserve"> </v>
      </c>
      <c r="D7" s="121" t="str">
        <f>IF(SUM(D9)=0," ",SUM(D9))</f>
        <v xml:space="preserve"> </v>
      </c>
      <c r="E7" s="122" t="str">
        <f>IF(SUM(C7:D7)=0," ",SUM(C7:D7))</f>
        <v xml:space="preserve"> </v>
      </c>
      <c r="F7" s="573"/>
    </row>
    <row r="8" spans="1:21" ht="16.5" customHeight="1">
      <c r="B8" s="159" t="str">
        <f>CONCATENATE("varav aktiva kontantkort (3-månadersregel)[",'Mobila samtalstj.'!A150,"]:")</f>
        <v>varav aktiva kontantkort (3-månadersregel)[4]:</v>
      </c>
      <c r="C8" s="125"/>
      <c r="D8" s="245"/>
      <c r="E8" s="122" t="str">
        <f>IF(SUM(C8)=0," ",SUM(C8))</f>
        <v xml:space="preserve"> </v>
      </c>
      <c r="F8" s="573"/>
      <c r="G8" s="582"/>
    </row>
    <row r="9" spans="1:21" ht="16.5" customHeight="1">
      <c r="B9" s="160" t="s">
        <v>95</v>
      </c>
      <c r="C9" s="123"/>
      <c r="D9" s="127"/>
      <c r="E9" s="124" t="str">
        <f>IF(SUM(C9:D9)=0," ",SUM(C9:D9))</f>
        <v xml:space="preserve"> </v>
      </c>
      <c r="F9" s="573"/>
      <c r="G9" s="582"/>
    </row>
    <row r="10" spans="1:21" ht="15.75" customHeight="1">
      <c r="B10" s="248" t="str">
        <f>CONCATENATE("Antal mobiltelefoniabonnemang [",'Mobila samtalstj.'!A147,"] för både samtal och data,[",'Mobila samtalstj.'!A151,"]:")</f>
        <v>Antal mobiltelefoniabonnemang [1] för både samtal och data,[5]:</v>
      </c>
      <c r="C10" s="244" t="str">
        <f>IF(SUM(C11:C12)=0," ",SUM(C11:C12))</f>
        <v xml:space="preserve"> </v>
      </c>
      <c r="D10" s="121" t="str">
        <f>IF(SUM(D12)=0," ",SUM(D12))</f>
        <v xml:space="preserve"> </v>
      </c>
      <c r="E10" s="122" t="str">
        <f>IF(SUM(C10:D10)=0," ",SUM(C10:D10))</f>
        <v xml:space="preserve"> </v>
      </c>
      <c r="F10" s="544"/>
    </row>
    <row r="11" spans="1:21" ht="16.5" customHeight="1">
      <c r="B11" s="159" t="str">
        <f>CONCATENATE("varav aktiva kontantkort (3-månadersregel)[",'Mobila samtalstj.'!A150,"]:")</f>
        <v>varav aktiva kontantkort (3-månadersregel)[4]:</v>
      </c>
      <c r="C11" s="125"/>
      <c r="D11" s="246"/>
      <c r="E11" s="122" t="str">
        <f>IF(SUM(C11)=0," ",SUM(C11))</f>
        <v xml:space="preserve"> </v>
      </c>
      <c r="F11" s="544"/>
    </row>
    <row r="12" spans="1:21" ht="16.5" customHeight="1">
      <c r="B12" s="159" t="s">
        <v>95</v>
      </c>
      <c r="C12" s="125"/>
      <c r="D12" s="126"/>
      <c r="E12" s="122" t="str">
        <f>IF(SUM(C12:D12)=0," ",SUM(C12:D12))</f>
        <v xml:space="preserve"> </v>
      </c>
      <c r="F12" s="573"/>
      <c r="G12" s="582"/>
    </row>
    <row r="13" spans="1:21" ht="27.75" customHeight="1">
      <c r="B13" s="248" t="str">
        <f>CONCATENATE("Antal mobilabonnemang (3-månadersregel)[",'Mobila samtalstj.'!A147,"] för enbart mobil data  [",'Mobila samtalstj.'!A153,"]:")</f>
        <v>Antal mobilabonnemang (3-månadersregel)[1] för enbart mobil data  [7]:</v>
      </c>
      <c r="C13" s="244" t="str">
        <f>IF(SUM(C14:C15)=0," ",SUM(C14:C15))</f>
        <v xml:space="preserve"> </v>
      </c>
      <c r="D13" s="121" t="str">
        <f>IF(SUM(D15)=0," ",SUM(D15))</f>
        <v xml:space="preserve"> </v>
      </c>
      <c r="E13" s="122" t="str">
        <f>IF(SUM(C13:D13)=0," ",SUM(C13:D13))</f>
        <v xml:space="preserve"> </v>
      </c>
      <c r="F13" s="544"/>
    </row>
    <row r="14" spans="1:21" ht="16.5" customHeight="1">
      <c r="B14" s="159" t="str">
        <f>CONCATENATE("varav aktiva kontantkort (3-månadersregel)[",'Mobila samtalstj.'!A150,"]:")</f>
        <v>varav aktiva kontantkort (3-månadersregel)[4]:</v>
      </c>
      <c r="C14" s="125"/>
      <c r="D14" s="246"/>
      <c r="E14" s="122" t="str">
        <f>IF(SUM(C14)=0," ",SUM(C14))</f>
        <v xml:space="preserve"> </v>
      </c>
      <c r="F14" s="544"/>
    </row>
    <row r="15" spans="1:21" ht="16.5" customHeight="1">
      <c r="B15" s="159" t="s">
        <v>95</v>
      </c>
      <c r="C15" s="123"/>
      <c r="D15" s="127"/>
      <c r="E15" s="122" t="str">
        <f>IF(SUM(C15:D15)=0," ",SUM(C15:D15))</f>
        <v xml:space="preserve"> </v>
      </c>
      <c r="F15" s="544"/>
    </row>
    <row r="16" spans="1:21" s="50" customFormat="1" ht="18.75" customHeight="1">
      <c r="A16" s="142"/>
      <c r="B16" s="355" t="str">
        <f>CONCATENATE("Totalt antal abonnemang [",'Mobila samtalstj.'!A147,"] för mobil telefoni och data:")</f>
        <v>Totalt antal abonnemang [1] för mobil telefoni och data:</v>
      </c>
      <c r="C16" s="680" t="str">
        <f>IF(SUM(C13,C10,C7)=0," ",SUM(C13,C10,C7))</f>
        <v xml:space="preserve"> </v>
      </c>
      <c r="D16" s="533" t="str">
        <f>IF(SUM(D13,D10,D7)=0," ",SUM(D13,D10,D7))</f>
        <v xml:space="preserve"> </v>
      </c>
      <c r="E16" s="282" t="str">
        <f>IF(SUM(C16:D16)=0," ",SUM(C16:D16))</f>
        <v xml:space="preserve"> </v>
      </c>
      <c r="F16" s="544"/>
      <c r="G16" s="501"/>
      <c r="H16" s="763"/>
      <c r="I16" s="763"/>
      <c r="J16" s="763"/>
      <c r="K16" s="763"/>
      <c r="L16" s="763"/>
      <c r="M16" s="763"/>
      <c r="N16" s="763"/>
      <c r="O16" s="763"/>
      <c r="P16" s="763"/>
      <c r="Q16" s="763"/>
      <c r="R16" s="763"/>
      <c r="S16" s="763"/>
      <c r="T16" s="763"/>
      <c r="U16" s="503"/>
    </row>
    <row r="17" spans="1:37" s="50" customFormat="1" ht="30" customHeight="1">
      <c r="A17" s="142"/>
      <c r="B17" s="188" t="str">
        <f>CONCATENATE("Antal abonnemang som har använt tjänster i GSM-nät (3-månadersregel):")</f>
        <v>Antal abonnemang som har använt tjänster i GSM-nät (3-månadersregel):</v>
      </c>
      <c r="C17" s="308"/>
      <c r="D17" s="309"/>
      <c r="E17" s="155"/>
      <c r="F17" s="544"/>
      <c r="G17" s="501"/>
      <c r="H17" s="763"/>
      <c r="I17" s="763"/>
      <c r="J17" s="763"/>
      <c r="K17" s="763"/>
      <c r="L17" s="763"/>
      <c r="M17" s="763"/>
      <c r="N17" s="763"/>
      <c r="O17" s="763"/>
      <c r="P17" s="763"/>
      <c r="Q17" s="763"/>
      <c r="R17" s="763"/>
      <c r="S17" s="763"/>
      <c r="T17" s="763"/>
      <c r="U17" s="503"/>
    </row>
    <row r="18" spans="1:37" s="50" customFormat="1" ht="30" customHeight="1">
      <c r="A18" s="142"/>
      <c r="B18" s="188" t="str">
        <f>CONCATENATE("Antal abonnemang som har använt tjänster i UMTS-nät (3-månadersregel)[",'Mobila samtalstj.'!A154,"]:")</f>
        <v>Antal abonnemang som har använt tjänster i UMTS-nät (3-månadersregel)[8]:</v>
      </c>
      <c r="C18" s="308"/>
      <c r="D18" s="309"/>
      <c r="E18" s="155"/>
      <c r="F18" s="544"/>
      <c r="G18" s="501"/>
      <c r="H18" s="763"/>
      <c r="I18" s="763"/>
      <c r="J18" s="763"/>
      <c r="K18" s="763"/>
      <c r="L18" s="763"/>
      <c r="M18" s="763"/>
      <c r="N18" s="763"/>
      <c r="O18" s="763"/>
      <c r="P18" s="763"/>
      <c r="Q18" s="763"/>
      <c r="R18" s="763"/>
      <c r="S18" s="763"/>
      <c r="T18" s="763"/>
      <c r="U18" s="503"/>
    </row>
    <row r="19" spans="1:37" s="50" customFormat="1" ht="30" customHeight="1">
      <c r="A19" s="142"/>
      <c r="B19" s="188" t="str">
        <f>CONCATENATE("Antal abonnemang som har använt tjänster i LTE-nät (3-månadersregel)[",'Mobila samtalstj.'!A155,"]:")</f>
        <v>Antal abonnemang som har använt tjänster i LTE-nät (3-månadersregel)[9]:</v>
      </c>
      <c r="C19" s="308"/>
      <c r="D19" s="309"/>
      <c r="E19" s="155"/>
      <c r="F19" s="544"/>
      <c r="G19" s="501"/>
      <c r="H19" s="763"/>
      <c r="I19" s="763"/>
      <c r="J19" s="763"/>
      <c r="K19" s="763"/>
      <c r="L19" s="763"/>
      <c r="M19" s="763"/>
      <c r="N19" s="763"/>
      <c r="O19" s="763"/>
      <c r="P19" s="763"/>
      <c r="Q19" s="763"/>
      <c r="R19" s="763"/>
      <c r="S19" s="763"/>
      <c r="T19" s="763"/>
      <c r="U19" s="503"/>
    </row>
    <row r="20" spans="1:37" s="50" customFormat="1" ht="18" customHeight="1">
      <c r="A20" s="142"/>
      <c r="B20" s="754"/>
      <c r="C20" s="754"/>
      <c r="D20" s="754"/>
      <c r="E20" s="754"/>
      <c r="F20" s="879"/>
      <c r="G20" s="501"/>
    </row>
    <row r="21" spans="1:37" ht="57" customHeight="1">
      <c r="B21" s="1075" t="str">
        <f>CONCATENATE("Fråga 19: Antal aktiva kontraktsabonnemang på mobiltelefoni och mobil data fördelat på datamängd [31 och 33]: (exkluderar abonnemang för kunder till tjänstetillhandahållare som ej ägs av operatör, dvs. indirekt anslutna kunder [2]). ",'Om detta formulär'!$C$10,":")</f>
        <v>Fråga 19: Antal aktiva kontraktsabonnemang på mobiltelefoni och mobil data fördelat på datamängd [31 och 33]: (exkluderar abonnemang för kunder till tjänstetillhandahållare som ej ägs av operatör, dvs. indirekt anslutna kunder [2]). 31 dec 2019:</v>
      </c>
      <c r="C21" s="1076"/>
      <c r="D21" s="1076"/>
      <c r="E21" s="1077"/>
      <c r="F21" s="744" t="s">
        <v>492</v>
      </c>
      <c r="G21" s="544"/>
      <c r="H21" s="541"/>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row>
    <row r="22" spans="1:37">
      <c r="B22" s="152"/>
      <c r="C22" s="153" t="s">
        <v>18</v>
      </c>
      <c r="D22" s="153" t="s">
        <v>19</v>
      </c>
      <c r="E22" s="154" t="s">
        <v>20</v>
      </c>
      <c r="F22" s="544"/>
      <c r="G22" s="544"/>
      <c r="H22" s="317"/>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row>
    <row r="23" spans="1:37" ht="27.75" customHeight="1">
      <c r="B23" s="684" t="str">
        <f>CONCATENATE("Antal  mobiltelefoniabonnemang [",'Mobila samtalstj.'!A147,"] för både samtal och data som är kontraktsabonnemang (från fråga 19),[",'Mobila samtalstj.'!A150,"]:")</f>
        <v>Antal  mobiltelefoniabonnemang [1] för både samtal och data som är kontraktsabonnemang (från fråga 19),[4]:</v>
      </c>
      <c r="C23" s="490" t="str">
        <f>IF(SUM(C12)=0," ",SUM(C12))</f>
        <v xml:space="preserve"> </v>
      </c>
      <c r="D23" s="488" t="str">
        <f>IF(SUM(D12)=0," ",SUM(D12))</f>
        <v xml:space="preserve"> </v>
      </c>
      <c r="E23" s="485" t="str">
        <f>IF(SUM(C23:D23)=0," ",SUM(C23:D23))</f>
        <v xml:space="preserve"> </v>
      </c>
      <c r="F23" s="744"/>
      <c r="G23" s="544"/>
      <c r="H23" s="317"/>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row>
    <row r="24" spans="1:37" ht="16.5" customHeight="1">
      <c r="B24" s="746" t="s">
        <v>325</v>
      </c>
      <c r="C24" s="438"/>
      <c r="D24" s="126"/>
      <c r="E24" s="124" t="str">
        <f>IF(SUM(C24:D24)=0," ",SUM(C24:D24))</f>
        <v xml:space="preserve"> </v>
      </c>
      <c r="F24" s="744"/>
      <c r="G24" s="544"/>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row>
    <row r="25" spans="1:37" s="381" customFormat="1" ht="16.5" customHeight="1">
      <c r="A25" s="142"/>
      <c r="B25" s="746" t="s">
        <v>326</v>
      </c>
      <c r="C25" s="438"/>
      <c r="D25" s="126"/>
      <c r="E25" s="124" t="str">
        <f t="shared" ref="E25:E30" si="0">IF(SUM(C25:D25)=0," ",SUM(C25:D25))</f>
        <v xml:space="preserve"> </v>
      </c>
      <c r="F25" s="871"/>
      <c r="G25" s="544"/>
    </row>
    <row r="26" spans="1:37" ht="16.5" customHeight="1">
      <c r="B26" s="746" t="s">
        <v>327</v>
      </c>
      <c r="C26" s="438"/>
      <c r="D26" s="126"/>
      <c r="E26" s="124" t="str">
        <f t="shared" si="0"/>
        <v xml:space="preserve"> </v>
      </c>
      <c r="F26" s="744"/>
      <c r="G26" s="544"/>
      <c r="H26" s="381"/>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row>
    <row r="27" spans="1:37" ht="16.5" customHeight="1">
      <c r="B27" s="746" t="s">
        <v>328</v>
      </c>
      <c r="C27" s="356"/>
      <c r="D27" s="127"/>
      <c r="E27" s="124" t="str">
        <f t="shared" si="0"/>
        <v xml:space="preserve"> </v>
      </c>
      <c r="F27" s="798"/>
      <c r="G27" s="544"/>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row>
    <row r="28" spans="1:37" ht="16.5" customHeight="1">
      <c r="B28" s="746" t="s">
        <v>363</v>
      </c>
      <c r="C28" s="491"/>
      <c r="D28" s="492"/>
      <c r="E28" s="124" t="str">
        <f t="shared" si="0"/>
        <v xml:space="preserve"> </v>
      </c>
      <c r="F28" s="744"/>
      <c r="G28" s="544"/>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row>
    <row r="29" spans="1:37" s="480" customFormat="1" ht="16.5" customHeight="1">
      <c r="A29" s="142"/>
      <c r="B29" s="746" t="s">
        <v>329</v>
      </c>
      <c r="C29" s="491"/>
      <c r="D29" s="492"/>
      <c r="E29" s="124" t="str">
        <f t="shared" si="0"/>
        <v xml:space="preserve"> </v>
      </c>
      <c r="F29" s="744"/>
      <c r="G29" s="544"/>
    </row>
    <row r="30" spans="1:37" s="480" customFormat="1" ht="16.5" customHeight="1">
      <c r="A30" s="142"/>
      <c r="B30" s="747" t="s">
        <v>330</v>
      </c>
      <c r="C30" s="748"/>
      <c r="D30" s="749"/>
      <c r="E30" s="750" t="str">
        <f t="shared" si="0"/>
        <v xml:space="preserve"> </v>
      </c>
      <c r="F30" s="744"/>
      <c r="G30" s="544"/>
    </row>
    <row r="31" spans="1:37" s="480" customFormat="1" ht="27" customHeight="1">
      <c r="A31" s="142"/>
      <c r="B31" s="684" t="s">
        <v>331</v>
      </c>
      <c r="C31" s="680" t="str">
        <f>IF(SUM(C24:C30)=0," ",SUM(C24:C30))</f>
        <v xml:space="preserve"> </v>
      </c>
      <c r="D31" s="680" t="str">
        <f>IF(SUM(D24:D30)=0," ",SUM(D24:D30))</f>
        <v xml:space="preserve"> </v>
      </c>
      <c r="E31" s="680" t="str">
        <f>IF(SUM(E24:E30)=0," ",SUM(E24:E30))</f>
        <v xml:space="preserve"> </v>
      </c>
      <c r="F31" s="744"/>
      <c r="G31" s="544"/>
    </row>
    <row r="32" spans="1:37" ht="29.25" customHeight="1">
      <c r="B32" s="684" t="str">
        <f>CONCATENATE("Antal mobiltelefoniabonnemang [",'Mobila samtalstj.'!A147,"] för endast data som är kontraktsabonnemang (från fråga 19),[",'Mobila samtalstj.'!A153,"]:")</f>
        <v>Antal mobiltelefoniabonnemang [1] för endast data som är kontraktsabonnemang (från fråga 19),[7]:</v>
      </c>
      <c r="C32" s="490" t="str">
        <f>IF(SUM(C15)=0," ",SUM(C15))</f>
        <v xml:space="preserve"> </v>
      </c>
      <c r="D32" s="488" t="str">
        <f>IF(SUM(D15)=0," ",SUM(D15))</f>
        <v xml:space="preserve"> </v>
      </c>
      <c r="E32" s="485" t="str">
        <f>IF(SUM(C32:D32)=0," ",SUM(C32:D32))</f>
        <v xml:space="preserve"> </v>
      </c>
      <c r="F32" s="744"/>
      <c r="G32" s="544"/>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row>
    <row r="33" spans="1:37" ht="16.5" customHeight="1">
      <c r="B33" s="746" t="s">
        <v>325</v>
      </c>
      <c r="C33" s="438"/>
      <c r="D33" s="126"/>
      <c r="E33" s="124" t="str">
        <f>IF(SUM(C33:D33)=0," ",SUM(C33:D33))</f>
        <v xml:space="preserve"> </v>
      </c>
      <c r="F33" s="744"/>
      <c r="G33" s="544"/>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row>
    <row r="34" spans="1:37" s="381" customFormat="1" ht="16.5" customHeight="1">
      <c r="A34" s="142"/>
      <c r="B34" s="746" t="s">
        <v>326</v>
      </c>
      <c r="C34" s="438"/>
      <c r="D34" s="126"/>
      <c r="E34" s="124" t="str">
        <f t="shared" ref="E34:E39" si="1">IF(SUM(C34:D34)=0," ",SUM(C34:D34))</f>
        <v xml:space="preserve"> </v>
      </c>
      <c r="F34" s="871"/>
      <c r="G34" s="544"/>
    </row>
    <row r="35" spans="1:37" ht="16.5" customHeight="1">
      <c r="B35" s="746" t="s">
        <v>327</v>
      </c>
      <c r="C35" s="438"/>
      <c r="D35" s="126"/>
      <c r="E35" s="124" t="str">
        <f t="shared" si="1"/>
        <v xml:space="preserve"> </v>
      </c>
      <c r="F35" s="744"/>
      <c r="G35" s="544"/>
      <c r="H35" s="381"/>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row>
    <row r="36" spans="1:37" ht="16.5" customHeight="1">
      <c r="B36" s="746" t="s">
        <v>328</v>
      </c>
      <c r="C36" s="356"/>
      <c r="D36" s="127"/>
      <c r="E36" s="124" t="str">
        <f t="shared" si="1"/>
        <v xml:space="preserve"> </v>
      </c>
      <c r="F36" s="744"/>
      <c r="G36" s="544"/>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row>
    <row r="37" spans="1:37" ht="16.5" customHeight="1">
      <c r="B37" s="746" t="s">
        <v>363</v>
      </c>
      <c r="C37" s="491"/>
      <c r="D37" s="492"/>
      <c r="E37" s="124" t="str">
        <f t="shared" si="1"/>
        <v xml:space="preserve"> </v>
      </c>
      <c r="F37" s="744"/>
      <c r="G37" s="544"/>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row>
    <row r="38" spans="1:37" s="480" customFormat="1" ht="16.5" customHeight="1">
      <c r="A38" s="142"/>
      <c r="B38" s="746" t="s">
        <v>329</v>
      </c>
      <c r="C38" s="491"/>
      <c r="D38" s="492"/>
      <c r="E38" s="124" t="str">
        <f t="shared" si="1"/>
        <v xml:space="preserve"> </v>
      </c>
      <c r="F38" s="744"/>
      <c r="G38" s="544"/>
    </row>
    <row r="39" spans="1:37" s="480" customFormat="1" ht="16.5" customHeight="1" thickBot="1">
      <c r="A39" s="142"/>
      <c r="B39" s="546" t="s">
        <v>330</v>
      </c>
      <c r="C39" s="748"/>
      <c r="D39" s="749"/>
      <c r="E39" s="750" t="str">
        <f t="shared" si="1"/>
        <v xml:space="preserve"> </v>
      </c>
      <c r="F39" s="717"/>
      <c r="G39" s="544"/>
    </row>
    <row r="40" spans="1:37" s="480" customFormat="1" ht="24.75" customHeight="1" thickTop="1">
      <c r="A40" s="142"/>
      <c r="B40" s="684" t="s">
        <v>332</v>
      </c>
      <c r="C40" s="680" t="str">
        <f>IF(SUM(C33:C39)=0," ",SUM(C33:C39))</f>
        <v xml:space="preserve"> </v>
      </c>
      <c r="D40" s="680" t="str">
        <f>IF(SUM(D33:D39)=0," ",SUM(D33:D39))</f>
        <v xml:space="preserve"> </v>
      </c>
      <c r="E40" s="680" t="str">
        <f>IF(SUM(E33:E39)=0," ",SUM(E33:E39))</f>
        <v xml:space="preserve"> </v>
      </c>
      <c r="F40" s="717"/>
      <c r="G40" s="544"/>
    </row>
    <row r="41" spans="1:37" ht="26.25" customHeight="1">
      <c r="B41" s="1094" t="s">
        <v>50</v>
      </c>
      <c r="C41" s="1185"/>
      <c r="D41" s="1185"/>
      <c r="E41" s="1186"/>
      <c r="F41" s="573"/>
      <c r="G41" s="544"/>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row>
    <row r="42" spans="1:37" s="50" customFormat="1" ht="18" customHeight="1">
      <c r="A42" s="142"/>
      <c r="B42" s="817"/>
      <c r="C42" s="817"/>
      <c r="D42" s="817"/>
      <c r="E42" s="817"/>
      <c r="F42" s="879"/>
      <c r="G42" s="501"/>
    </row>
    <row r="43" spans="1:37" s="50" customFormat="1" ht="43.5" customHeight="1">
      <c r="A43" s="142"/>
      <c r="B43" s="1189" t="s">
        <v>390</v>
      </c>
      <c r="C43" s="1190"/>
      <c r="D43" s="1190"/>
      <c r="E43" s="1191"/>
      <c r="F43" s="880"/>
      <c r="G43" s="501"/>
    </row>
    <row r="44" spans="1:37" s="816" customFormat="1" ht="57" customHeight="1">
      <c r="A44" s="142"/>
      <c r="B44" s="1075" t="s">
        <v>556</v>
      </c>
      <c r="C44" s="1076"/>
      <c r="D44" s="1076"/>
      <c r="E44" s="1077"/>
      <c r="F44" s="881" t="s">
        <v>530</v>
      </c>
      <c r="G44" s="544"/>
      <c r="H44" s="541"/>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row>
    <row r="45" spans="1:37" s="816" customFormat="1">
      <c r="A45" s="142"/>
      <c r="B45" s="152"/>
      <c r="C45" s="153" t="s">
        <v>18</v>
      </c>
      <c r="D45" s="153" t="s">
        <v>19</v>
      </c>
      <c r="E45" s="154" t="s">
        <v>20</v>
      </c>
      <c r="F45" s="544"/>
      <c r="G45" s="544"/>
      <c r="H45" s="317"/>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row>
    <row r="46" spans="1:37" s="816" customFormat="1" ht="27.75" customHeight="1">
      <c r="A46" s="142"/>
      <c r="B46" s="248" t="str">
        <f>CONCATENATE("Antal aktiva mobilabonnemang inklusive eventulla tilläggstjänster ( t.ex. klockor)  som använder eSIM:")</f>
        <v>Antal aktiva mobilabonnemang inklusive eventulla tilläggstjänster ( t.ex. klockor)  som använder eSIM:</v>
      </c>
      <c r="C46" s="818"/>
      <c r="D46" s="819"/>
      <c r="E46" s="892"/>
      <c r="F46" s="875"/>
      <c r="G46" s="544"/>
      <c r="H46" s="317"/>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row>
    <row r="47" spans="1:37" s="480" customFormat="1" ht="27" customHeight="1">
      <c r="A47" s="142"/>
      <c r="B47" s="1168" t="s">
        <v>50</v>
      </c>
      <c r="C47" s="1169"/>
      <c r="D47" s="1169"/>
      <c r="E47" s="1170"/>
      <c r="F47" s="744"/>
      <c r="G47" s="544"/>
    </row>
    <row r="48" spans="1:37" ht="29.25" customHeight="1">
      <c r="B48" s="1075" t="str">
        <f>CONCATENATE("Fråga 21: Antal aktiva SIM-kort med geografiskt nummer den ",'Om detta formulär'!C10,":")</f>
        <v>Fråga 21: Antal aktiva SIM-kort med geografiskt nummer den 31 dec 2019:</v>
      </c>
      <c r="C48" s="1076"/>
      <c r="D48" s="1076"/>
      <c r="E48" s="1077"/>
      <c r="F48" s="544"/>
      <c r="G48" s="264"/>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row>
    <row r="49" spans="1:8" ht="12.75" customHeight="1">
      <c r="B49" s="117"/>
      <c r="C49" s="341" t="s">
        <v>18</v>
      </c>
      <c r="D49" s="341" t="s">
        <v>19</v>
      </c>
      <c r="E49" s="292" t="s">
        <v>20</v>
      </c>
      <c r="F49" s="573"/>
    </row>
    <row r="50" spans="1:8" s="50" customFormat="1" ht="30" customHeight="1">
      <c r="A50" s="142"/>
      <c r="B50" s="455" t="str">
        <f>CONCATENATE("Antal SIM-kort som har geografiskt telefonnummer knutet till sig [",'Mobila samtalstj.'!A156,"]:")</f>
        <v>Antal SIM-kort som har geografiskt telefonnummer knutet till sig [10]:</v>
      </c>
      <c r="C50" s="343"/>
      <c r="D50" s="344"/>
      <c r="E50" s="345" t="str">
        <f>IF(SUM(C50:D50)=0," ",SUM(C50:D50))</f>
        <v xml:space="preserve"> </v>
      </c>
      <c r="F50" s="573"/>
      <c r="G50" s="501"/>
    </row>
    <row r="51" spans="1:8" s="51" customFormat="1">
      <c r="A51" s="142"/>
      <c r="B51" s="787"/>
      <c r="C51" s="788"/>
      <c r="D51" s="788"/>
      <c r="E51" s="788"/>
      <c r="F51" s="875"/>
      <c r="G51" s="501"/>
    </row>
    <row r="52" spans="1:8" s="50" customFormat="1" ht="40.5" customHeight="1">
      <c r="A52" s="142"/>
      <c r="B52" s="1075" t="str">
        <f>CONCATENATE("Fråga 22: Totala intäkter (tusentals kronor) från slutkund för mobila samtals- och datatjänster [",'Mobila samtalstj.'!A159,"][31]. Denna fråga avser intäkter för anbonnemang som rappoterats på fråga 18. Under ",'Om detta formulär'!C6,":")</f>
        <v>Fråga 22: Totala intäkter (tusentals kronor) från slutkund för mobila samtals- och datatjänster [13][31]. Denna fråga avser intäkter för anbonnemang som rappoterats på fråga 18. Under 2019:</v>
      </c>
      <c r="C52" s="1076"/>
      <c r="D52" s="1076"/>
      <c r="E52" s="1077"/>
      <c r="F52" s="820" t="s">
        <v>561</v>
      </c>
      <c r="G52" s="544"/>
    </row>
    <row r="53" spans="1:8">
      <c r="B53" s="446" t="s">
        <v>257</v>
      </c>
      <c r="C53" s="789" t="s">
        <v>18</v>
      </c>
      <c r="D53" s="789" t="s">
        <v>19</v>
      </c>
      <c r="E53" s="790" t="s">
        <v>20</v>
      </c>
      <c r="F53" s="544"/>
    </row>
    <row r="54" spans="1:8">
      <c r="B54" s="791" t="s">
        <v>169</v>
      </c>
      <c r="C54" s="792"/>
      <c r="D54" s="793"/>
      <c r="E54" s="794"/>
      <c r="F54" s="544"/>
    </row>
    <row r="55" spans="1:8" ht="15.75" customHeight="1">
      <c r="B55" s="518" t="str">
        <f>CONCATENATE("Abonnemangsavgifter [",'Mobila samtalstj.'!A160,"]:")</f>
        <v>Abonnemangsavgifter [14]:</v>
      </c>
      <c r="C55" s="800"/>
      <c r="D55" s="800"/>
      <c r="E55" s="517" t="str">
        <f>IF(SUM(C55:D55)=0," ",SUM(C55:D55))</f>
        <v xml:space="preserve"> </v>
      </c>
      <c r="F55" s="544"/>
    </row>
    <row r="56" spans="1:8" ht="21" customHeight="1" thickBot="1">
      <c r="B56" s="687" t="s">
        <v>156</v>
      </c>
      <c r="C56" s="800"/>
      <c r="D56" s="800"/>
      <c r="E56" s="517" t="str">
        <f>IF(SUM(C56:D56)=0," ",SUM(C56:D56))</f>
        <v xml:space="preserve"> </v>
      </c>
      <c r="F56" s="544"/>
    </row>
    <row r="57" spans="1:8" ht="16.5" hidden="1" customHeight="1">
      <c r="B57" s="458" t="str">
        <f>CONCATENATE("Samtalstrafik[",'Mobila samtalstj.'!A161,"]:")</f>
        <v>Samtalstrafik[15]:</v>
      </c>
      <c r="C57" s="271"/>
      <c r="D57" s="272"/>
      <c r="E57" s="133" t="str">
        <f t="shared" ref="E57:E62" si="2">IF(SUM(C57:D57)=0," ",SUM(C57:D57))</f>
        <v xml:space="preserve"> </v>
      </c>
      <c r="F57" s="544"/>
      <c r="H57" s="185"/>
    </row>
    <row r="58" spans="1:8" ht="16.5" hidden="1" customHeight="1">
      <c r="B58" s="458" t="str">
        <f>CONCATENATE("SMS[",'Mobila samtalstj.'!A162,"]:")</f>
        <v>SMS[16]:</v>
      </c>
      <c r="C58" s="247"/>
      <c r="D58" s="135"/>
      <c r="E58" s="133" t="str">
        <f t="shared" si="2"/>
        <v xml:space="preserve"> </v>
      </c>
      <c r="F58" s="544"/>
      <c r="H58" s="185"/>
    </row>
    <row r="59" spans="1:8" ht="16.5" hidden="1" customHeight="1">
      <c r="B59" s="458" t="s">
        <v>238</v>
      </c>
      <c r="C59" s="247"/>
      <c r="D59" s="135"/>
      <c r="E59" s="133" t="str">
        <f t="shared" si="2"/>
        <v xml:space="preserve"> </v>
      </c>
      <c r="F59" s="544"/>
      <c r="H59" s="185"/>
    </row>
    <row r="60" spans="1:8" ht="16.5" hidden="1" customHeight="1">
      <c r="B60" s="458" t="str">
        <f>CONCATENATE("Mobil datatrafik[",'Mobila samtalstj.'!A163,"]:")</f>
        <v>Mobil datatrafik[17]:</v>
      </c>
      <c r="C60" s="134"/>
      <c r="D60" s="135"/>
      <c r="E60" s="133" t="str">
        <f t="shared" si="2"/>
        <v xml:space="preserve"> </v>
      </c>
      <c r="F60" s="544"/>
      <c r="H60" s="185"/>
    </row>
    <row r="61" spans="1:8" ht="27" hidden="1" customHeight="1">
      <c r="B61" s="162" t="s">
        <v>239</v>
      </c>
      <c r="C61" s="134"/>
      <c r="D61" s="135"/>
      <c r="E61" s="133" t="str">
        <f t="shared" si="2"/>
        <v xml:space="preserve"> </v>
      </c>
      <c r="F61" s="544"/>
      <c r="H61" s="185"/>
    </row>
    <row r="62" spans="1:8" ht="27" hidden="1" customHeight="1" thickBot="1">
      <c r="B62" s="459" t="str">
        <f>CONCATENATE("varav övriga intäkter från mobila samtals- och datatjänster från slutkund[",'Mobila samtalstj.'!A164,"]:")</f>
        <v>varav övriga intäkter från mobila samtals- och datatjänster från slutkund[18]:</v>
      </c>
      <c r="C62" s="310"/>
      <c r="D62" s="311"/>
      <c r="E62" s="312" t="str">
        <f t="shared" si="2"/>
        <v xml:space="preserve"> </v>
      </c>
      <c r="F62" s="544"/>
    </row>
    <row r="63" spans="1:8" ht="29.25" customHeight="1" thickTop="1">
      <c r="B63" s="795" t="s">
        <v>57</v>
      </c>
      <c r="C63" s="801" t="str">
        <f>IF(SUM(C55:C56)=0," ",SUM(C55:C56))</f>
        <v xml:space="preserve"> </v>
      </c>
      <c r="D63" s="801" t="str">
        <f>IF(SUM(D55:D56)=0," ",SUM(D55:D56))</f>
        <v xml:space="preserve"> </v>
      </c>
      <c r="E63" s="175" t="str">
        <f>IF(SUM(D63,C63)=0," ",SUM(D63,C63))</f>
        <v xml:space="preserve"> </v>
      </c>
      <c r="F63" s="544"/>
    </row>
    <row r="64" spans="1:8" ht="15" customHeight="1">
      <c r="B64" s="685" t="s">
        <v>154</v>
      </c>
      <c r="C64" s="280"/>
      <c r="D64" s="799"/>
      <c r="E64" s="803" t="str">
        <f>IF(SUM(C64:D64)=0," ",SUM(C64:D64))</f>
        <v xml:space="preserve"> </v>
      </c>
      <c r="F64" s="544"/>
    </row>
    <row r="65" spans="1:8" ht="15.75" customHeight="1">
      <c r="B65" s="686" t="str">
        <f>CONCATENATE("Varav intäkter från kontantkort[",'Mobila samtalstj.'!A150,"]:")</f>
        <v>Varav intäkter från kontantkort[4]:</v>
      </c>
      <c r="C65" s="249"/>
      <c r="D65" s="802"/>
      <c r="E65" s="413" t="str">
        <f>IF(SUM(C65)=0," ",SUM(C65))</f>
        <v xml:space="preserve"> </v>
      </c>
      <c r="F65" s="544"/>
    </row>
    <row r="66" spans="1:8" ht="6.75" customHeight="1">
      <c r="B66" s="787"/>
      <c r="C66" s="131"/>
      <c r="D66" s="131"/>
      <c r="E66" s="131"/>
      <c r="F66" s="544"/>
    </row>
    <row r="67" spans="1:8" ht="27" customHeight="1">
      <c r="B67" s="840" t="s">
        <v>375</v>
      </c>
      <c r="C67" s="280"/>
      <c r="D67" s="799"/>
      <c r="E67" s="128" t="str">
        <f>IF(SUM(C67:D67)=0," ",SUM(C67:D67))</f>
        <v xml:space="preserve"> </v>
      </c>
      <c r="F67" s="544"/>
    </row>
    <row r="68" spans="1:8" s="782" customFormat="1" ht="9.75" customHeight="1">
      <c r="A68" s="142"/>
      <c r="B68" s="785"/>
      <c r="C68" s="786"/>
      <c r="D68" s="786"/>
      <c r="E68" s="797"/>
      <c r="F68" s="544"/>
      <c r="G68" s="501"/>
    </row>
    <row r="69" spans="1:8" s="50" customFormat="1" ht="47.25" customHeight="1">
      <c r="A69" s="142"/>
      <c r="B69" s="1075" t="str">
        <f>CONCATENATE("Fråga 23: Antal från slutkund utgående taltrafikminuter (i tusental) för mobil telefoni (exklusive datatrafik och internationell roaming) under 2019 [",'Mobila samtalstj.'!A166,"]:")</f>
        <v>Fråga 23: Antal från slutkund utgående taltrafikminuter (i tusental) för mobil telefoni (exklusive datatrafik och internationell roaming) under 2019 [20]:</v>
      </c>
      <c r="C69" s="1076"/>
      <c r="D69" s="1076"/>
      <c r="E69" s="1077"/>
      <c r="F69" s="544"/>
      <c r="G69" s="882"/>
    </row>
    <row r="70" spans="1:8" ht="14.25" customHeight="1">
      <c r="B70" s="117"/>
      <c r="C70" s="118" t="s">
        <v>18</v>
      </c>
      <c r="D70" s="118" t="s">
        <v>19</v>
      </c>
      <c r="E70" s="119" t="s">
        <v>20</v>
      </c>
      <c r="F70" s="573"/>
    </row>
    <row r="71" spans="1:8" s="50" customFormat="1">
      <c r="A71" s="142"/>
      <c r="B71" s="138" t="s">
        <v>221</v>
      </c>
      <c r="C71" s="280"/>
      <c r="D71" s="139"/>
      <c r="E71" s="128" t="str">
        <f>IF(SUM(C71:D71)=0," ",SUM(C71:D71))</f>
        <v xml:space="preserve"> </v>
      </c>
      <c r="F71" s="573"/>
      <c r="G71" s="501"/>
    </row>
    <row r="72" spans="1:8" s="50" customFormat="1" ht="12.75" customHeight="1">
      <c r="A72" s="142"/>
      <c r="B72" s="161" t="str">
        <f>CONCATENATE("varav inom eget nät[",'Mobila samtalstj.'!A167,"]:")</f>
        <v>varav inom eget nät[21]:</v>
      </c>
      <c r="C72" s="140"/>
      <c r="D72" s="141"/>
      <c r="E72" s="133" t="str">
        <f>IF(SUM(C72:D72)=0," ",SUM(C72:D72))</f>
        <v xml:space="preserve"> </v>
      </c>
      <c r="F72" s="573"/>
      <c r="G72" s="501"/>
    </row>
    <row r="73" spans="1:8" s="50" customFormat="1" ht="12.75" customHeight="1">
      <c r="A73" s="142"/>
      <c r="B73" s="143" t="s">
        <v>222</v>
      </c>
      <c r="C73" s="140"/>
      <c r="D73" s="141"/>
      <c r="E73" s="122" t="str">
        <f>IF(SUM(C73:D73)=0," ",SUM(C73:D73))</f>
        <v xml:space="preserve"> </v>
      </c>
      <c r="F73" s="573"/>
      <c r="G73" s="501"/>
    </row>
    <row r="74" spans="1:8" s="50" customFormat="1" ht="26.25" customHeight="1">
      <c r="A74" s="142"/>
      <c r="B74" s="143" t="s">
        <v>223</v>
      </c>
      <c r="C74" s="140"/>
      <c r="D74" s="141"/>
      <c r="E74" s="122" t="str">
        <f>IF(SUM(C74:D74)=0," ",SUM(C74:D74))</f>
        <v xml:space="preserve"> </v>
      </c>
      <c r="F74" s="573"/>
      <c r="G74" s="501"/>
    </row>
    <row r="75" spans="1:8" s="50" customFormat="1" ht="13.5" thickBot="1">
      <c r="A75" s="142"/>
      <c r="B75" s="688" t="s">
        <v>224</v>
      </c>
      <c r="C75" s="689"/>
      <c r="D75" s="689"/>
      <c r="E75" s="144" t="str">
        <f>IF(SUM(C75:D75)=0," ",SUM(C75:D75))</f>
        <v xml:space="preserve"> </v>
      </c>
      <c r="F75" s="573"/>
      <c r="G75" s="501"/>
    </row>
    <row r="76" spans="1:8" s="50" customFormat="1" ht="13.5" thickTop="1">
      <c r="A76" s="142"/>
      <c r="B76" s="531" t="s">
        <v>225</v>
      </c>
      <c r="C76" s="532" t="str">
        <f>IF(SUM(C71,C73,C74:C75)=0," ",SUM(C71,C73,C74:C75))</f>
        <v xml:space="preserve"> </v>
      </c>
      <c r="D76" s="533" t="str">
        <f>IF(SUM(D71,D73,D74:D75)=0," ",SUM(D71,D73,D74:D75))</f>
        <v xml:space="preserve"> </v>
      </c>
      <c r="E76" s="393" t="str">
        <f>IF(SUM(E71,E73,E74:E75)=0," ",SUM(E71,E73,E74:E75))</f>
        <v xml:space="preserve"> </v>
      </c>
      <c r="F76" s="573"/>
      <c r="G76" s="501"/>
    </row>
    <row r="77" spans="1:8" s="50" customFormat="1">
      <c r="A77" s="142"/>
      <c r="B77" s="690" t="s">
        <v>226</v>
      </c>
      <c r="C77" s="297"/>
      <c r="D77" s="298"/>
      <c r="E77" s="318"/>
      <c r="F77" s="544"/>
      <c r="G77" s="501"/>
      <c r="H77" s="554"/>
    </row>
    <row r="78" spans="1:8" ht="16.5" customHeight="1">
      <c r="B78" s="691" t="s">
        <v>236</v>
      </c>
      <c r="C78" s="297"/>
      <c r="D78" s="298"/>
      <c r="E78" s="318"/>
      <c r="F78" s="544"/>
    </row>
    <row r="79" spans="1:8" s="764" customFormat="1" ht="16.5" customHeight="1">
      <c r="A79" s="142"/>
      <c r="B79" s="691" t="s">
        <v>333</v>
      </c>
      <c r="C79" s="765"/>
      <c r="D79" s="766"/>
      <c r="E79" s="767"/>
      <c r="F79" s="544"/>
      <c r="G79" s="501"/>
    </row>
    <row r="80" spans="1:8">
      <c r="B80" s="692" t="s">
        <v>338</v>
      </c>
      <c r="C80" s="301"/>
      <c r="D80" s="302"/>
      <c r="E80" s="335"/>
      <c r="F80" s="544"/>
    </row>
    <row r="81" spans="1:7" s="51" customFormat="1" ht="12" customHeight="1">
      <c r="A81" s="142"/>
      <c r="B81" s="147"/>
      <c r="C81" s="148"/>
      <c r="D81" s="148"/>
      <c r="E81" s="149"/>
      <c r="F81" s="544"/>
      <c r="G81" s="501"/>
    </row>
    <row r="82" spans="1:7" s="142" customFormat="1" ht="33.75" customHeight="1">
      <c r="B82" s="1075" t="str">
        <f>CONCATENATE("Fråga 24: Antal från slutkund utgående mobilsamtal[",'Mobila samtalstj.'!A168,"] (i tusental)  (exklusive internationell roaming) under ",'Om detta formulär'!C6,":")</f>
        <v>Fråga 24: Antal från slutkund utgående mobilsamtal[22] (i tusental)  (exklusive internationell roaming) under 2019:</v>
      </c>
      <c r="C82" s="1076"/>
      <c r="D82" s="1076"/>
      <c r="E82" s="1077"/>
      <c r="F82" s="544"/>
      <c r="G82" s="501"/>
    </row>
    <row r="83" spans="1:7" s="142" customFormat="1" ht="20.25" customHeight="1">
      <c r="B83" s="117"/>
      <c r="C83" s="118" t="s">
        <v>18</v>
      </c>
      <c r="D83" s="118" t="s">
        <v>19</v>
      </c>
      <c r="E83" s="119" t="s">
        <v>20</v>
      </c>
      <c r="F83" s="573"/>
      <c r="G83" s="501"/>
    </row>
    <row r="84" spans="1:7" s="142" customFormat="1" ht="16.5" customHeight="1">
      <c r="B84" s="138" t="s">
        <v>6</v>
      </c>
      <c r="C84" s="280"/>
      <c r="D84" s="139"/>
      <c r="E84" s="128" t="str">
        <f t="shared" ref="E84:E89" si="3">IF(SUM(C84:D84)=0," ",SUM(C84:D84))</f>
        <v xml:space="preserve"> </v>
      </c>
      <c r="F84" s="573"/>
      <c r="G84" s="264"/>
    </row>
    <row r="85" spans="1:7" s="142" customFormat="1" ht="17.100000000000001" customHeight="1">
      <c r="B85" s="161" t="str">
        <f>CONCATENATE("varav inom eget nät [",'Mobila samtalstj.'!A167,"]:")</f>
        <v>varav inom eget nät [21]:</v>
      </c>
      <c r="C85" s="140"/>
      <c r="D85" s="141"/>
      <c r="E85" s="133" t="str">
        <f t="shared" si="3"/>
        <v xml:space="preserve"> </v>
      </c>
      <c r="F85" s="573"/>
      <c r="G85" s="501"/>
    </row>
    <row r="86" spans="1:7" s="142" customFormat="1" ht="17.100000000000001" customHeight="1">
      <c r="B86" s="143" t="s">
        <v>7</v>
      </c>
      <c r="C86" s="140"/>
      <c r="D86" s="141"/>
      <c r="E86" s="122" t="str">
        <f t="shared" si="3"/>
        <v xml:space="preserve"> </v>
      </c>
      <c r="F86" s="573"/>
      <c r="G86" s="501"/>
    </row>
    <row r="87" spans="1:7" s="142" customFormat="1" ht="28.5" customHeight="1">
      <c r="B87" s="265" t="s">
        <v>177</v>
      </c>
      <c r="C87" s="283"/>
      <c r="D87" s="303"/>
      <c r="E87" s="282" t="str">
        <f t="shared" si="3"/>
        <v xml:space="preserve"> </v>
      </c>
      <c r="F87" s="573"/>
      <c r="G87" s="501"/>
    </row>
    <row r="88" spans="1:7" s="142" customFormat="1" ht="13.5" thickBot="1">
      <c r="B88" s="304" t="s">
        <v>178</v>
      </c>
      <c r="C88" s="230"/>
      <c r="D88" s="226"/>
      <c r="E88" s="144" t="str">
        <f t="shared" si="3"/>
        <v xml:space="preserve"> </v>
      </c>
      <c r="F88" s="573"/>
      <c r="G88" s="501"/>
    </row>
    <row r="89" spans="1:7" s="142" customFormat="1" ht="17.100000000000001" customHeight="1" thickTop="1">
      <c r="B89" s="266" t="s">
        <v>8</v>
      </c>
      <c r="C89" s="145" t="str">
        <f>IF(SUM(C84,C86,C87,C88)=0," ",SUM(C84,C86,C87,C88))</f>
        <v xml:space="preserve"> </v>
      </c>
      <c r="D89" s="267" t="str">
        <f>IF(SUM(D84,D86,D87,D88)=0," ",SUM(D84,D86,D87,D88))</f>
        <v xml:space="preserve"> </v>
      </c>
      <c r="E89" s="306" t="str">
        <f t="shared" si="3"/>
        <v xml:space="preserve"> </v>
      </c>
      <c r="F89" s="573"/>
      <c r="G89" s="501"/>
    </row>
    <row r="90" spans="1:7" s="142" customFormat="1" ht="17.100000000000001" customHeight="1">
      <c r="B90" s="174" t="s">
        <v>170</v>
      </c>
      <c r="C90" s="297"/>
      <c r="D90" s="298"/>
      <c r="E90" s="318"/>
      <c r="F90" s="557"/>
      <c r="G90" s="501"/>
    </row>
    <row r="91" spans="1:7" s="142" customFormat="1" ht="15.75" customHeight="1">
      <c r="B91" s="693" t="s">
        <v>260</v>
      </c>
      <c r="C91" s="299"/>
      <c r="D91" s="300"/>
      <c r="E91" s="318"/>
      <c r="F91" s="557"/>
      <c r="G91" s="501"/>
    </row>
    <row r="92" spans="1:7" s="142" customFormat="1" ht="15.75" customHeight="1">
      <c r="B92" s="693" t="s">
        <v>334</v>
      </c>
      <c r="C92" s="768"/>
      <c r="D92" s="769"/>
      <c r="E92" s="767"/>
      <c r="F92" s="557"/>
      <c r="G92" s="501"/>
    </row>
    <row r="93" spans="1:7" s="142" customFormat="1">
      <c r="B93" s="694" t="s">
        <v>339</v>
      </c>
      <c r="C93" s="301"/>
      <c r="D93" s="302"/>
      <c r="E93" s="335"/>
      <c r="F93" s="544"/>
      <c r="G93" s="501"/>
    </row>
    <row r="94" spans="1:7" s="51" customFormat="1" ht="17.25" customHeight="1">
      <c r="A94" s="142"/>
      <c r="B94" s="66"/>
      <c r="C94" s="66"/>
      <c r="D94" s="66"/>
      <c r="E94" s="66"/>
      <c r="F94" s="808"/>
      <c r="G94" s="501"/>
    </row>
    <row r="95" spans="1:7" s="50" customFormat="1" ht="33" customHeight="1">
      <c r="A95" s="142"/>
      <c r="B95" s="1075" t="str">
        <f>CONCATENATE("Fråga 25: Från slutkund utgående och inkommande mobildatatrafik [5] [24] i GB för mobila datatjänster. OBS MB ska anges binärt [23]. Avser under ",'Om detta formulär'!C6,":")</f>
        <v>Fråga 25: Från slutkund utgående och inkommande mobildatatrafik [5] [24] i GB för mobila datatjänster. OBS MB ska anges binärt [23]. Avser under 2019:</v>
      </c>
      <c r="C95" s="1076"/>
      <c r="D95" s="1076"/>
      <c r="E95" s="1077"/>
      <c r="F95" s="920" t="s">
        <v>493</v>
      </c>
      <c r="G95" s="544"/>
    </row>
    <row r="96" spans="1:7" s="142" customFormat="1" ht="15.75" customHeight="1">
      <c r="B96" s="117"/>
      <c r="C96" s="118" t="s">
        <v>18</v>
      </c>
      <c r="D96" s="118" t="s">
        <v>19</v>
      </c>
      <c r="E96" s="119" t="s">
        <v>20</v>
      </c>
      <c r="F96" s="557"/>
      <c r="G96" s="501"/>
    </row>
    <row r="97" spans="1:24" s="142" customFormat="1" ht="15.75" customHeight="1">
      <c r="B97" s="602" t="str">
        <f>CONCATENATE("Utgående (uppströms) mobil datatrafik (GB):")</f>
        <v>Utgående (uppströms) mobil datatrafik (GB):</v>
      </c>
      <c r="C97" s="280"/>
      <c r="D97" s="281"/>
      <c r="E97" s="603" t="str">
        <f>IF(SUM(C97:D97)=0," ",SUM(C97:D97))</f>
        <v xml:space="preserve"> </v>
      </c>
      <c r="F97" s="883"/>
      <c r="G97" s="264"/>
      <c r="H97" s="50"/>
      <c r="I97" s="50"/>
      <c r="J97" s="50"/>
      <c r="K97" s="50"/>
      <c r="L97" s="50"/>
      <c r="M97" s="50"/>
      <c r="N97" s="50"/>
      <c r="O97" s="50"/>
      <c r="P97" s="50"/>
      <c r="Q97" s="50"/>
      <c r="R97" s="50"/>
      <c r="S97" s="50"/>
      <c r="T97" s="50"/>
      <c r="U97" s="50"/>
      <c r="V97" s="50"/>
      <c r="W97" s="50"/>
      <c r="X97" s="50"/>
    </row>
    <row r="98" spans="1:24" s="142" customFormat="1" ht="15.75" customHeight="1">
      <c r="B98" s="602" t="str">
        <f>CONCATENATE("Inkommande (nedströms) mobil datatrafik (GB):")</f>
        <v>Inkommande (nedströms) mobil datatrafik (GB):</v>
      </c>
      <c r="C98" s="179"/>
      <c r="D98" s="770"/>
      <c r="E98" s="603"/>
      <c r="F98" s="883"/>
      <c r="G98" s="264"/>
      <c r="H98" s="50"/>
      <c r="I98" s="50"/>
      <c r="J98" s="50"/>
      <c r="K98" s="50"/>
      <c r="L98" s="50"/>
      <c r="M98" s="50"/>
      <c r="N98" s="50"/>
      <c r="O98" s="50"/>
      <c r="P98" s="50"/>
      <c r="Q98" s="50"/>
      <c r="R98" s="50"/>
      <c r="S98" s="50"/>
      <c r="T98" s="50"/>
      <c r="U98" s="50"/>
      <c r="V98" s="50"/>
      <c r="W98" s="50"/>
      <c r="X98" s="50"/>
    </row>
    <row r="99" spans="1:24" s="142" customFormat="1" ht="15.75" customHeight="1" thickBot="1">
      <c r="B99" s="662" t="str">
        <f>CONCATENATE("Mobil datatrafik (GB) okänt om upp-eller nedströms:")</f>
        <v>Mobil datatrafik (GB) okänt om upp-eller nedströms:</v>
      </c>
      <c r="C99" s="376"/>
      <c r="D99" s="604"/>
      <c r="E99" s="605" t="str">
        <f>IF(SUM(C99:D99)=0," ",SUM(C99:D99))</f>
        <v xml:space="preserve"> </v>
      </c>
      <c r="F99" s="883"/>
      <c r="G99" s="264"/>
      <c r="H99" s="50"/>
      <c r="I99" s="50"/>
      <c r="J99" s="50"/>
      <c r="K99" s="50"/>
      <c r="L99" s="50"/>
      <c r="M99" s="50"/>
      <c r="N99" s="50"/>
      <c r="O99" s="50"/>
      <c r="P99" s="50"/>
      <c r="Q99" s="50"/>
      <c r="R99" s="50"/>
      <c r="S99" s="50"/>
      <c r="T99" s="50"/>
      <c r="U99" s="50"/>
      <c r="V99" s="50"/>
      <c r="W99" s="50"/>
      <c r="X99" s="50"/>
    </row>
    <row r="100" spans="1:24" s="456" customFormat="1" ht="15.75" customHeight="1" thickTop="1">
      <c r="A100" s="142"/>
      <c r="B100" s="661" t="s">
        <v>531</v>
      </c>
      <c r="C100" s="695" t="str">
        <f>IF(SUM(C97:C99)=0," ",SUM(C97:C99))</f>
        <v xml:space="preserve"> </v>
      </c>
      <c r="D100" s="679" t="str">
        <f>IF(SUM(D97:D99)=0," ",SUM(D97:D99))</f>
        <v xml:space="preserve"> </v>
      </c>
      <c r="E100" s="282" t="str">
        <f>IF(SUM(C100:D100)=0," ",SUM(C100:D100))</f>
        <v xml:space="preserve"> </v>
      </c>
      <c r="F100" s="883"/>
      <c r="G100" s="884"/>
    </row>
    <row r="101" spans="1:24" s="456" customFormat="1">
      <c r="B101" s="660" t="s">
        <v>391</v>
      </c>
      <c r="C101" s="280"/>
      <c r="D101" s="281"/>
      <c r="E101" s="603" t="str">
        <f>IF(SUM(C101,D101)=0," ",SUM(C101,D101))</f>
        <v xml:space="preserve"> </v>
      </c>
      <c r="F101" s="883"/>
      <c r="G101" s="427"/>
      <c r="I101" s="516"/>
    </row>
    <row r="102" spans="1:24" s="456" customFormat="1">
      <c r="B102" s="660" t="s">
        <v>392</v>
      </c>
      <c r="C102" s="280"/>
      <c r="D102" s="281"/>
      <c r="E102" s="603"/>
      <c r="F102" s="883"/>
      <c r="G102" s="427"/>
      <c r="I102" s="516"/>
    </row>
    <row r="103" spans="1:24" s="456" customFormat="1" ht="9.75" customHeight="1">
      <c r="A103" s="142"/>
      <c r="B103" s="602"/>
      <c r="C103" s="280"/>
      <c r="D103" s="281"/>
      <c r="E103" s="603"/>
      <c r="F103" s="573"/>
      <c r="G103" s="884"/>
    </row>
    <row r="104" spans="1:24" s="456" customFormat="1" ht="15.6" customHeight="1">
      <c r="B104" s="660" t="s">
        <v>378</v>
      </c>
      <c r="C104" s="280"/>
      <c r="D104" s="281"/>
      <c r="E104" s="603" t="str">
        <f>IF(SUM(C104,D104)=0," ",SUM(C104,D104))</f>
        <v xml:space="preserve"> </v>
      </c>
      <c r="F104" s="885"/>
      <c r="G104" s="427"/>
      <c r="I104" s="516"/>
    </row>
    <row r="105" spans="1:24" s="456" customFormat="1" ht="15.6" customHeight="1">
      <c r="B105" s="660" t="str">
        <f>CONCATENATE("varav från abonnemang på samtal- och datatjänst:")</f>
        <v>varav från abonnemang på samtal- och datatjänst:</v>
      </c>
      <c r="C105" s="151"/>
      <c r="D105" s="553"/>
      <c r="E105" s="699" t="str">
        <f>IF(SUM(C105,D105)=0," ",SUM(C105,D105))</f>
        <v xml:space="preserve"> </v>
      </c>
      <c r="F105" s="886"/>
      <c r="G105" s="427"/>
    </row>
    <row r="106" spans="1:24" s="480" customFormat="1" ht="27" customHeight="1">
      <c r="A106" s="142"/>
      <c r="B106" s="1168" t="s">
        <v>50</v>
      </c>
      <c r="C106" s="1169"/>
      <c r="D106" s="1169"/>
      <c r="E106" s="1170"/>
      <c r="F106" s="744"/>
      <c r="G106" s="544"/>
    </row>
    <row r="107" spans="1:24" s="50" customFormat="1" ht="12.75" customHeight="1">
      <c r="A107" s="142"/>
      <c r="B107" s="67"/>
      <c r="C107" s="131"/>
      <c r="D107" s="131"/>
      <c r="E107" s="234"/>
      <c r="F107" s="573"/>
      <c r="G107" s="501"/>
    </row>
    <row r="108" spans="1:24" s="50" customFormat="1" ht="34.5" customHeight="1">
      <c r="A108" s="142"/>
      <c r="B108" s="1075" t="str">
        <f>CONCATENATE("Fråga 26: Antal SMS (i tusental) och MMS (i tusental) skickade under 2019 [",'Mobila samtalstj.'!A171,"]:")</f>
        <v>Fråga 26: Antal SMS (i tusental) och MMS (i tusental) skickade under 2019 [25]:</v>
      </c>
      <c r="C108" s="1076"/>
      <c r="D108" s="1076"/>
      <c r="E108" s="1077"/>
      <c r="F108" s="544"/>
      <c r="G108" s="501"/>
    </row>
    <row r="109" spans="1:24" s="142" customFormat="1" ht="15.75" customHeight="1">
      <c r="B109" s="752"/>
      <c r="C109" s="527" t="s">
        <v>18</v>
      </c>
      <c r="D109" s="527" t="s">
        <v>19</v>
      </c>
      <c r="E109" s="213" t="s">
        <v>20</v>
      </c>
      <c r="F109" s="573"/>
      <c r="G109" s="501"/>
    </row>
    <row r="110" spans="1:24" s="142" customFormat="1" ht="15.75" customHeight="1">
      <c r="B110" s="156" t="str">
        <f>CONCATENATE("Antal SMS skickade från mobiltelefon [",'Mobila samtalstj.'!A172,"]:")</f>
        <v>Antal SMS skickade från mobiltelefon [26]:</v>
      </c>
      <c r="C110" s="139"/>
      <c r="D110" s="281"/>
      <c r="E110" s="457" t="str">
        <f>IF(SUM(C110:D110)=0," ",SUM(C110:D110))</f>
        <v xml:space="preserve"> </v>
      </c>
      <c r="F110" s="573"/>
      <c r="G110" s="264"/>
    </row>
    <row r="111" spans="1:24" s="142" customFormat="1" ht="15.75" customHeight="1">
      <c r="B111" s="755" t="s">
        <v>534</v>
      </c>
      <c r="C111" s="139"/>
      <c r="D111" s="281"/>
      <c r="E111" s="457"/>
      <c r="F111" s="544"/>
      <c r="G111" s="264"/>
    </row>
    <row r="112" spans="1:24" s="142" customFormat="1" ht="15.75" customHeight="1">
      <c r="B112" s="386" t="s">
        <v>533</v>
      </c>
      <c r="C112" s="139"/>
      <c r="D112" s="281"/>
      <c r="E112" s="457"/>
      <c r="F112" s="544"/>
      <c r="G112" s="264"/>
    </row>
    <row r="113" spans="1:8" s="142" customFormat="1" ht="17.100000000000001" customHeight="1">
      <c r="B113" s="157" t="s">
        <v>17</v>
      </c>
      <c r="C113" s="151"/>
      <c r="D113" s="553"/>
      <c r="E113" s="700" t="str">
        <f>IF(SUM(C113:D113)=0," ",SUM(C113:D113))</f>
        <v xml:space="preserve"> </v>
      </c>
      <c r="F113" s="573"/>
      <c r="G113" s="264"/>
    </row>
    <row r="114" spans="1:8" s="142" customFormat="1" ht="7.5" customHeight="1">
      <c r="B114" s="336"/>
      <c r="C114" s="337"/>
      <c r="D114" s="337"/>
      <c r="E114" s="234"/>
      <c r="F114" s="573"/>
      <c r="G114" s="501"/>
    </row>
    <row r="115" spans="1:8" s="142" customFormat="1" ht="17.100000000000001" customHeight="1">
      <c r="B115" s="1187" t="s">
        <v>261</v>
      </c>
      <c r="C115" s="1187"/>
      <c r="D115" s="1187"/>
      <c r="E115" s="1187"/>
      <c r="F115" s="558"/>
      <c r="G115" s="484"/>
    </row>
    <row r="116" spans="1:8" s="142" customFormat="1" ht="64.5" customHeight="1">
      <c r="B116" s="1075" t="str">
        <f>CONCATENATE("Fråga 27: Intäkter, trafik och antal SIM-kort för M2M (exkluderar kunder till tjänstetillhandahållare som ej ägs av operatör, dvs. abonnemang som tillhör indirekt anslutna kunder[",'Mobila samtalstj.'!A157,"]) under ",'Om detta formulär'!C6,". ")</f>
        <v xml:space="preserve">Fråga 27: Intäkter, trafik och antal SIM-kort för M2M (exkluderar kunder till tjänstetillhandahållare som ej ägs av operatör, dvs. abonnemang som tillhör indirekt anslutna kunder[11]) under 2019. </v>
      </c>
      <c r="C116" s="1076"/>
      <c r="D116" s="1076"/>
      <c r="E116" s="1077"/>
      <c r="F116" s="875"/>
      <c r="G116" s="501"/>
      <c r="H116" s="503"/>
    </row>
    <row r="117" spans="1:8" s="142" customFormat="1" ht="15.75" customHeight="1">
      <c r="B117" s="291"/>
      <c r="C117" s="181"/>
      <c r="D117" s="181"/>
      <c r="E117" s="292" t="s">
        <v>20</v>
      </c>
      <c r="F117" s="808"/>
      <c r="G117" s="501"/>
    </row>
    <row r="118" spans="1:8" s="142" customFormat="1" ht="17.25" customHeight="1">
      <c r="B118" s="293" t="str">
        <f>CONCATENATE("Antal SIM-kort för M2M [",'Mobila samtalstj.'!A157,"],[",'Mobila samtalstj.'!A158,"] :")</f>
        <v>Antal SIM-kort för M2M [11],[12] :</v>
      </c>
      <c r="C118" s="295"/>
      <c r="D118" s="296"/>
      <c r="E118" s="287"/>
      <c r="F118" s="875"/>
      <c r="G118" s="501"/>
    </row>
    <row r="119" spans="1:8" s="142" customFormat="1" ht="17.25" customHeight="1">
      <c r="B119" s="930" t="s">
        <v>393</v>
      </c>
      <c r="C119" s="295"/>
      <c r="D119" s="296"/>
      <c r="E119" s="287"/>
      <c r="F119" s="875" t="s">
        <v>419</v>
      </c>
      <c r="G119" s="501"/>
    </row>
    <row r="120" spans="1:8" s="142" customFormat="1" ht="17.25" customHeight="1">
      <c r="B120" s="930" t="s">
        <v>394</v>
      </c>
      <c r="C120" s="295"/>
      <c r="D120" s="296"/>
      <c r="E120" s="287"/>
      <c r="F120" s="875" t="s">
        <v>419</v>
      </c>
      <c r="G120" s="501"/>
    </row>
    <row r="121" spans="1:8" s="142" customFormat="1" ht="17.100000000000001" customHeight="1">
      <c r="B121" s="294" t="str">
        <f>CONCATENATE("Intäkter [",'Mobila samtalstj.'!A165,"] för SIM-kort för M2M (tusentals kronor):")</f>
        <v>Intäkter [19] för SIM-kort för M2M (tusentals kronor):</v>
      </c>
      <c r="C121" s="295"/>
      <c r="D121" s="296"/>
      <c r="E121" s="287"/>
      <c r="F121" s="875"/>
      <c r="G121" s="501"/>
    </row>
    <row r="122" spans="1:8" s="142" customFormat="1" ht="17.100000000000001" customHeight="1">
      <c r="B122" s="930" t="s">
        <v>414</v>
      </c>
      <c r="C122" s="338"/>
      <c r="D122" s="339"/>
      <c r="E122" s="340"/>
      <c r="F122" s="875" t="s">
        <v>419</v>
      </c>
      <c r="G122" s="501"/>
    </row>
    <row r="123" spans="1:8" s="142" customFormat="1" ht="17.100000000000001" customHeight="1">
      <c r="B123" s="585" t="s">
        <v>395</v>
      </c>
      <c r="C123" s="338"/>
      <c r="D123" s="339"/>
      <c r="E123" s="340"/>
      <c r="F123" s="875"/>
      <c r="G123" s="501"/>
    </row>
    <row r="124" spans="1:8" s="142" customFormat="1" ht="17.100000000000001" customHeight="1">
      <c r="B124" s="214" t="s">
        <v>396</v>
      </c>
      <c r="C124" s="338"/>
      <c r="D124" s="339"/>
      <c r="E124" s="340"/>
      <c r="F124" s="875"/>
      <c r="G124" s="501"/>
    </row>
    <row r="125" spans="1:8" s="142" customFormat="1" ht="15.75" customHeight="1">
      <c r="B125" s="294" t="s">
        <v>293</v>
      </c>
      <c r="C125" s="295"/>
      <c r="D125" s="295"/>
      <c r="E125" s="447"/>
      <c r="F125" s="808"/>
      <c r="G125" s="501"/>
    </row>
    <row r="126" spans="1:8" s="51" customFormat="1" ht="37.5" customHeight="1">
      <c r="A126" s="142"/>
      <c r="B126" s="1183" t="s">
        <v>433</v>
      </c>
      <c r="C126" s="1183"/>
      <c r="D126" s="1183"/>
      <c r="E126" s="1183"/>
      <c r="F126" s="557"/>
      <c r="G126" s="756"/>
    </row>
    <row r="127" spans="1:8" s="142" customFormat="1" ht="42" customHeight="1">
      <c r="B127" s="1075" t="str">
        <f>CONCATENATE("Fråga 28: Uthyrning av allmänt kommunikationsnät för mobila samtals- och datatjänster till tjänstetillhandahållare[",'Mobila samtalstj.'!A174,"] (Reseller och MVNO) under ",'Om detta formulär'!C6,":")</f>
        <v>Fråga 28: Uthyrning av allmänt kommunikationsnät för mobila samtals- och datatjänster till tjänstetillhandahållare[27] (Reseller och MVNO) under 2019:</v>
      </c>
      <c r="C127" s="1076"/>
      <c r="D127" s="1076"/>
      <c r="E127" s="1077"/>
      <c r="F127" s="544"/>
      <c r="G127" s="887"/>
    </row>
    <row r="128" spans="1:8" ht="15.75" customHeight="1">
      <c r="B128" s="117"/>
      <c r="C128" s="288"/>
      <c r="D128" s="289"/>
      <c r="E128" s="119" t="s">
        <v>20</v>
      </c>
      <c r="F128" s="573"/>
    </row>
    <row r="129" spans="1:8" ht="17.25" customHeight="1">
      <c r="B129" s="751" t="s">
        <v>59</v>
      </c>
      <c r="C129" s="295"/>
      <c r="D129" s="296"/>
      <c r="E129" s="287"/>
      <c r="F129" s="573"/>
    </row>
    <row r="130" spans="1:8" ht="18" customHeight="1">
      <c r="B130" s="751" t="s">
        <v>193</v>
      </c>
      <c r="C130" s="295"/>
      <c r="D130" s="296"/>
      <c r="E130" s="287"/>
      <c r="F130" s="573"/>
    </row>
    <row r="131" spans="1:8" ht="18.75" customHeight="1">
      <c r="B131" s="1184" t="s">
        <v>149</v>
      </c>
      <c r="C131" s="1185"/>
      <c r="D131" s="1186"/>
      <c r="E131" s="287"/>
      <c r="F131" s="573"/>
    </row>
    <row r="132" spans="1:8" ht="27.75" customHeight="1">
      <c r="B132" s="1184" t="str">
        <f>CONCATENATE("Intäkter från uthyrning av nät för MVNO/Reseller-verksamhet [",'Mobila samtalstj.'!A175,"] för mobila samtals- och datatjänster (tusentals kronor):")</f>
        <v>Intäkter från uthyrning av nät för MVNO/Reseller-verksamhet [28] för mobila samtals- och datatjänster (tusentals kronor):</v>
      </c>
      <c r="C132" s="1185"/>
      <c r="D132" s="1186"/>
      <c r="E132" s="287"/>
      <c r="F132" s="557"/>
      <c r="G132" s="893"/>
    </row>
    <row r="133" spans="1:8" ht="18.75" customHeight="1">
      <c r="B133" s="1184" t="str">
        <f>CONCATENATE("Intäkter från terminering [",'Mobila samtalstj.'!A176,"] av inkommande [",'Mobila samtalstj.'!A177,"] samtalstrafik: (tusentals kronor)")</f>
        <v>Intäkter från terminering [29] av inkommande [30] samtalstrafik: (tusentals kronor)</v>
      </c>
      <c r="C133" s="1185"/>
      <c r="D133" s="1186"/>
      <c r="E133" s="287"/>
      <c r="F133" s="557"/>
      <c r="G133" s="893"/>
    </row>
    <row r="134" spans="1:8" ht="16.5" customHeight="1">
      <c r="B134" s="1140" t="str">
        <f>CONCATENATE("Antal trafikminuter från terminering [",'Mobila samtalstj.'!A176,"] av inkommande [",'Mobila samtalstj.'!A177,"] trafik:")</f>
        <v>Antal trafikminuter från terminering [29] av inkommande [30] trafik:</v>
      </c>
      <c r="C134" s="1100"/>
      <c r="D134" s="1099"/>
      <c r="E134" s="287"/>
      <c r="F134" s="594"/>
    </row>
    <row r="135" spans="1:8" s="51" customFormat="1" ht="11.25" customHeight="1">
      <c r="A135" s="142"/>
      <c r="B135" s="136"/>
      <c r="C135" s="137"/>
      <c r="D135" s="137"/>
      <c r="E135" s="137"/>
      <c r="F135" s="808"/>
      <c r="G135" s="501"/>
    </row>
    <row r="136" spans="1:8" ht="32.25" customHeight="1">
      <c r="B136" s="1075" t="str">
        <f>CONCATENATE("Fråga 29:  Vilka tjänstetillhandahållare[",'Mobila samtalstj.'!A174,"] (reseller och MVNO) har hyrt allmänt kommnikationsnät för mobila samtals- och datatjänster till slutkund. under ",'Om detta formulär'!C6,"?")</f>
        <v>Fråga 29:  Vilka tjänstetillhandahållare[27] (reseller och MVNO) har hyrt allmänt kommnikationsnät för mobila samtals- och datatjänster till slutkund. under 2019?</v>
      </c>
      <c r="C136" s="1076"/>
      <c r="D136" s="1076"/>
      <c r="E136" s="1077"/>
      <c r="F136" s="544"/>
      <c r="H136" s="931"/>
    </row>
    <row r="137" spans="1:8" ht="17.25" customHeight="1">
      <c r="B137" s="1177" t="s">
        <v>14</v>
      </c>
      <c r="C137" s="1178"/>
      <c r="D137" s="1178"/>
      <c r="E137" s="1179"/>
      <c r="F137" s="544"/>
    </row>
    <row r="138" spans="1:8" ht="18" customHeight="1">
      <c r="B138" s="1180">
        <v>1</v>
      </c>
      <c r="C138" s="1181"/>
      <c r="D138" s="1181"/>
      <c r="E138" s="1182"/>
      <c r="F138" s="544"/>
    </row>
    <row r="139" spans="1:8" ht="18" customHeight="1">
      <c r="B139" s="1174">
        <v>2</v>
      </c>
      <c r="C139" s="1175"/>
      <c r="D139" s="1175"/>
      <c r="E139" s="1176"/>
      <c r="F139" s="573"/>
    </row>
    <row r="140" spans="1:8" ht="18" customHeight="1">
      <c r="B140" s="1174">
        <v>3</v>
      </c>
      <c r="C140" s="1175"/>
      <c r="D140" s="1175"/>
      <c r="E140" s="1176"/>
      <c r="F140" s="573"/>
    </row>
    <row r="141" spans="1:8" ht="18" customHeight="1">
      <c r="B141" s="1174">
        <v>4</v>
      </c>
      <c r="C141" s="1175"/>
      <c r="D141" s="1175"/>
      <c r="E141" s="1176"/>
      <c r="F141" s="573"/>
    </row>
    <row r="142" spans="1:8" ht="18" customHeight="1">
      <c r="B142" s="1174">
        <v>5</v>
      </c>
      <c r="C142" s="1175"/>
      <c r="D142" s="1175"/>
      <c r="E142" s="1176"/>
      <c r="F142" s="573"/>
    </row>
    <row r="143" spans="1:8" ht="18" customHeight="1">
      <c r="B143" s="1174">
        <v>6</v>
      </c>
      <c r="C143" s="1175"/>
      <c r="D143" s="1175"/>
      <c r="E143" s="1176"/>
      <c r="F143" s="573"/>
    </row>
    <row r="144" spans="1:8" ht="18" customHeight="1">
      <c r="B144" s="1174">
        <v>7</v>
      </c>
      <c r="C144" s="1175"/>
      <c r="D144" s="1175"/>
      <c r="E144" s="1176"/>
      <c r="F144" s="573"/>
    </row>
    <row r="145" spans="1:9" ht="18" customHeight="1">
      <c r="B145" s="1174">
        <v>8</v>
      </c>
      <c r="C145" s="1175"/>
      <c r="D145" s="1175"/>
      <c r="E145" s="1176"/>
      <c r="F145" s="573"/>
    </row>
    <row r="146" spans="1:9" s="757" customFormat="1" ht="15.75">
      <c r="A146" s="142"/>
      <c r="B146" s="1172" t="s">
        <v>283</v>
      </c>
      <c r="C146" s="1172"/>
      <c r="D146" s="1172"/>
      <c r="E146" s="1172"/>
      <c r="F146" s="468"/>
      <c r="G146" s="888"/>
    </row>
    <row r="147" spans="1:9" ht="31.5" customHeight="1">
      <c r="A147" s="606">
        <v>1</v>
      </c>
      <c r="B147" s="1166" t="s">
        <v>284</v>
      </c>
      <c r="C147" s="1167"/>
      <c r="D147" s="1167"/>
      <c r="E147" s="1167"/>
      <c r="F147" s="573"/>
      <c r="G147" s="758"/>
    </row>
    <row r="148" spans="1:9" ht="30" customHeight="1">
      <c r="A148" s="606">
        <v>2</v>
      </c>
      <c r="B148" s="1166" t="s">
        <v>160</v>
      </c>
      <c r="C148" s="1167"/>
      <c r="D148" s="1167"/>
      <c r="E148" s="1167"/>
      <c r="F148" s="573"/>
      <c r="G148" s="758"/>
    </row>
    <row r="149" spans="1:9" ht="44.25" customHeight="1">
      <c r="A149" s="606">
        <v>3</v>
      </c>
      <c r="B149" s="1166" t="s">
        <v>161</v>
      </c>
      <c r="C149" s="1167"/>
      <c r="D149" s="1167"/>
      <c r="E149" s="1167"/>
      <c r="F149" s="573"/>
      <c r="G149" s="758"/>
    </row>
    <row r="150" spans="1:9" ht="42" customHeight="1">
      <c r="A150" s="606">
        <v>4</v>
      </c>
      <c r="B150" s="1166" t="s">
        <v>201</v>
      </c>
      <c r="C150" s="1167"/>
      <c r="D150" s="1167"/>
      <c r="E150" s="1167"/>
      <c r="F150" s="573"/>
      <c r="G150" s="758"/>
    </row>
    <row r="151" spans="1:9" ht="60" customHeight="1">
      <c r="A151" s="606">
        <v>5</v>
      </c>
      <c r="B151" s="1166" t="s">
        <v>316</v>
      </c>
      <c r="C151" s="1167"/>
      <c r="D151" s="1167"/>
      <c r="E151" s="1167"/>
      <c r="F151" s="759"/>
      <c r="G151" s="758"/>
      <c r="I151" s="758"/>
    </row>
    <row r="152" spans="1:9" ht="27.75" customHeight="1">
      <c r="A152" s="606">
        <v>6</v>
      </c>
      <c r="B152" s="1173" t="s">
        <v>205</v>
      </c>
      <c r="C152" s="1167"/>
      <c r="D152" s="1167"/>
      <c r="E152" s="1167"/>
      <c r="F152" s="889"/>
      <c r="G152" s="468"/>
    </row>
    <row r="153" spans="1:9" ht="54" customHeight="1">
      <c r="A153" s="606">
        <v>7</v>
      </c>
      <c r="B153" s="1166" t="s">
        <v>317</v>
      </c>
      <c r="C153" s="1167"/>
      <c r="D153" s="1167"/>
      <c r="E153" s="1167"/>
      <c r="F153" s="573"/>
      <c r="G153" s="758"/>
    </row>
    <row r="154" spans="1:9" ht="24.75" customHeight="1">
      <c r="A154" s="606">
        <v>8</v>
      </c>
      <c r="B154" s="1166" t="s">
        <v>255</v>
      </c>
      <c r="C154" s="1167"/>
      <c r="D154" s="1167"/>
      <c r="E154" s="1167"/>
      <c r="F154" s="573"/>
      <c r="G154" s="758"/>
    </row>
    <row r="155" spans="1:9" ht="15" customHeight="1">
      <c r="A155" s="760">
        <v>9</v>
      </c>
      <c r="B155" s="1166" t="s">
        <v>140</v>
      </c>
      <c r="C155" s="1167"/>
      <c r="D155" s="1167"/>
      <c r="E155" s="1167"/>
      <c r="F155" s="573"/>
      <c r="G155" s="758"/>
    </row>
    <row r="156" spans="1:9" ht="28.5" customHeight="1">
      <c r="A156" s="606">
        <v>10</v>
      </c>
      <c r="B156" s="1166" t="s">
        <v>273</v>
      </c>
      <c r="C156" s="1167"/>
      <c r="D156" s="1167"/>
      <c r="E156" s="1167"/>
      <c r="F156" s="573"/>
      <c r="G156" s="761"/>
    </row>
    <row r="157" spans="1:9" ht="54" customHeight="1">
      <c r="A157" s="606">
        <v>11</v>
      </c>
      <c r="B157" s="1166" t="s">
        <v>496</v>
      </c>
      <c r="C157" s="1127"/>
      <c r="D157" s="1127"/>
      <c r="E157" s="1127"/>
      <c r="F157" s="573" t="s">
        <v>415</v>
      </c>
      <c r="G157" s="758"/>
    </row>
    <row r="158" spans="1:9" ht="29.25" customHeight="1">
      <c r="A158" s="606">
        <v>12</v>
      </c>
      <c r="B158" s="1166" t="s">
        <v>114</v>
      </c>
      <c r="C158" s="1167"/>
      <c r="D158" s="1167"/>
      <c r="E158" s="1167"/>
      <c r="F158" s="573"/>
      <c r="G158" s="758"/>
    </row>
    <row r="159" spans="1:9" ht="96.75" customHeight="1">
      <c r="A159" s="606">
        <v>13</v>
      </c>
      <c r="B159" s="1166" t="s">
        <v>497</v>
      </c>
      <c r="C159" s="1127"/>
      <c r="D159" s="1127"/>
      <c r="E159" s="1127"/>
      <c r="F159" s="903"/>
      <c r="G159" s="758"/>
    </row>
    <row r="160" spans="1:9" ht="48.75" customHeight="1">
      <c r="A160" s="606">
        <v>14</v>
      </c>
      <c r="B160" s="1171" t="s">
        <v>369</v>
      </c>
      <c r="C160" s="1167"/>
      <c r="D160" s="1167"/>
      <c r="E160" s="1167"/>
      <c r="F160" s="1171"/>
      <c r="G160" s="1167"/>
      <c r="H160" s="1167"/>
      <c r="I160" s="1167"/>
    </row>
    <row r="161" spans="1:7" ht="26.25" customHeight="1">
      <c r="A161" s="760">
        <v>15</v>
      </c>
      <c r="B161" s="1166" t="s">
        <v>212</v>
      </c>
      <c r="C161" s="1167"/>
      <c r="D161" s="1167"/>
      <c r="E161" s="1167"/>
      <c r="F161" s="573"/>
      <c r="G161" s="758"/>
    </row>
    <row r="162" spans="1:7">
      <c r="A162" s="606">
        <v>16</v>
      </c>
      <c r="B162" s="753" t="s">
        <v>162</v>
      </c>
      <c r="C162" s="240"/>
      <c r="D162" s="240"/>
      <c r="E162" s="240"/>
      <c r="F162" s="573"/>
      <c r="G162" s="762"/>
    </row>
    <row r="163" spans="1:7">
      <c r="A163" s="606">
        <v>17</v>
      </c>
      <c r="B163" s="753" t="s">
        <v>211</v>
      </c>
      <c r="C163" s="240"/>
      <c r="D163" s="240"/>
      <c r="E163" s="240"/>
      <c r="F163" s="573"/>
      <c r="G163" s="758"/>
    </row>
    <row r="164" spans="1:7" ht="39.75" customHeight="1">
      <c r="A164" s="606">
        <v>18</v>
      </c>
      <c r="B164" s="1166" t="s">
        <v>163</v>
      </c>
      <c r="C164" s="1167"/>
      <c r="D164" s="1167"/>
      <c r="E164" s="1167"/>
      <c r="F164" s="573"/>
      <c r="G164" s="758"/>
    </row>
    <row r="165" spans="1:7">
      <c r="A165" s="606">
        <v>19</v>
      </c>
      <c r="B165" s="753" t="s">
        <v>121</v>
      </c>
      <c r="C165" s="240"/>
      <c r="D165" s="240"/>
      <c r="E165" s="240"/>
      <c r="F165" s="573"/>
      <c r="G165" s="758"/>
    </row>
    <row r="166" spans="1:7" ht="25.5" customHeight="1">
      <c r="A166" s="606">
        <v>20</v>
      </c>
      <c r="B166" s="1166" t="s">
        <v>115</v>
      </c>
      <c r="C166" s="1167"/>
      <c r="D166" s="1167"/>
      <c r="E166" s="1167"/>
      <c r="F166" s="573"/>
      <c r="G166" s="758"/>
    </row>
    <row r="167" spans="1:7" ht="27" customHeight="1">
      <c r="A167" s="760">
        <v>21</v>
      </c>
      <c r="B167" s="1166" t="s">
        <v>535</v>
      </c>
      <c r="C167" s="1167"/>
      <c r="D167" s="1167"/>
      <c r="E167" s="1167"/>
      <c r="F167" s="573" t="s">
        <v>415</v>
      </c>
      <c r="G167" s="758"/>
    </row>
    <row r="168" spans="1:7">
      <c r="A168" s="606">
        <v>22</v>
      </c>
      <c r="B168" s="753" t="s">
        <v>116</v>
      </c>
      <c r="C168" s="240"/>
      <c r="D168" s="240"/>
      <c r="E168" s="240"/>
      <c r="F168" s="573"/>
      <c r="G168" s="758"/>
    </row>
    <row r="169" spans="1:7">
      <c r="A169" s="606">
        <v>23</v>
      </c>
      <c r="B169" s="920" t="s">
        <v>462</v>
      </c>
      <c r="C169" s="240"/>
      <c r="D169" s="240"/>
      <c r="E169" s="240"/>
      <c r="F169" s="544" t="s">
        <v>411</v>
      </c>
      <c r="G169" s="758"/>
    </row>
    <row r="170" spans="1:7">
      <c r="A170" s="606">
        <v>24</v>
      </c>
      <c r="B170" s="136" t="s">
        <v>138</v>
      </c>
      <c r="C170" s="240"/>
      <c r="D170" s="240"/>
      <c r="E170" s="240"/>
      <c r="F170" s="573"/>
      <c r="G170" s="758"/>
    </row>
    <row r="171" spans="1:7">
      <c r="A171" s="606">
        <v>25</v>
      </c>
      <c r="B171" s="753" t="s">
        <v>117</v>
      </c>
      <c r="C171" s="240"/>
      <c r="D171" s="240"/>
      <c r="E171" s="240"/>
      <c r="F171" s="573"/>
      <c r="G171" s="758"/>
    </row>
    <row r="172" spans="1:7" ht="27" customHeight="1">
      <c r="A172" s="606">
        <v>26</v>
      </c>
      <c r="B172" s="1166" t="s">
        <v>164</v>
      </c>
      <c r="C172" s="1167"/>
      <c r="D172" s="1167"/>
      <c r="E172" s="1167"/>
      <c r="F172" s="573"/>
      <c r="G172" s="758"/>
    </row>
    <row r="173" spans="1:7" s="940" customFormat="1" ht="27" customHeight="1">
      <c r="A173" s="939"/>
      <c r="B173" s="1166"/>
      <c r="C173" s="1167"/>
      <c r="D173" s="1167"/>
      <c r="E173" s="1167"/>
      <c r="F173" s="573"/>
      <c r="G173" s="758"/>
    </row>
    <row r="174" spans="1:7" ht="29.25" customHeight="1">
      <c r="A174" s="760">
        <v>27</v>
      </c>
      <c r="B174" s="1166" t="s">
        <v>118</v>
      </c>
      <c r="C174" s="1167"/>
      <c r="D174" s="1167"/>
      <c r="E174" s="1167"/>
      <c r="F174" s="573"/>
      <c r="G174" s="758"/>
    </row>
    <row r="175" spans="1:7">
      <c r="A175" s="606">
        <v>28</v>
      </c>
      <c r="B175" s="753" t="s">
        <v>119</v>
      </c>
      <c r="C175" s="240"/>
      <c r="D175" s="240"/>
      <c r="E175" s="240"/>
      <c r="F175" s="573"/>
      <c r="G175" s="758"/>
    </row>
    <row r="176" spans="1:7">
      <c r="A176" s="606">
        <v>29</v>
      </c>
      <c r="B176" s="1166" t="s">
        <v>256</v>
      </c>
      <c r="C176" s="1167"/>
      <c r="D176" s="1167"/>
      <c r="E176" s="1167"/>
      <c r="F176" s="573"/>
      <c r="G176" s="758"/>
    </row>
    <row r="177" spans="1:7">
      <c r="A177" s="606">
        <v>30</v>
      </c>
      <c r="B177" s="753" t="s">
        <v>120</v>
      </c>
      <c r="C177" s="240"/>
      <c r="D177" s="240"/>
      <c r="E177" s="240"/>
      <c r="F177" s="573"/>
      <c r="G177" s="758"/>
    </row>
    <row r="178" spans="1:7" ht="27.75" customHeight="1">
      <c r="A178" s="570">
        <v>31</v>
      </c>
      <c r="B178" s="1166" t="s">
        <v>376</v>
      </c>
      <c r="C178" s="1167"/>
      <c r="D178" s="1167"/>
      <c r="E178" s="1167"/>
      <c r="F178" s="544"/>
    </row>
    <row r="179" spans="1:7" ht="30" customHeight="1">
      <c r="A179" s="570">
        <v>32</v>
      </c>
      <c r="B179" s="1166" t="s">
        <v>377</v>
      </c>
      <c r="C179" s="1167"/>
      <c r="D179" s="1167"/>
      <c r="E179" s="1167"/>
      <c r="F179" s="544"/>
    </row>
    <row r="180" spans="1:7" ht="57.75" customHeight="1">
      <c r="A180" s="570">
        <v>33</v>
      </c>
      <c r="B180" s="1166" t="s">
        <v>383</v>
      </c>
      <c r="C180" s="1167"/>
      <c r="D180" s="1167"/>
      <c r="E180" s="1167"/>
      <c r="F180" s="544"/>
    </row>
    <row r="181" spans="1:7" ht="65.25" customHeight="1">
      <c r="A181" s="142">
        <v>34</v>
      </c>
      <c r="B181" s="1166" t="s">
        <v>495</v>
      </c>
      <c r="C181" s="1167"/>
      <c r="D181" s="1167"/>
      <c r="E181" s="1167"/>
      <c r="F181" s="573" t="s">
        <v>463</v>
      </c>
    </row>
    <row r="182" spans="1:7" ht="12.75" customHeight="1">
      <c r="A182" s="142">
        <v>35</v>
      </c>
      <c r="B182" s="1166" t="s">
        <v>532</v>
      </c>
      <c r="C182" s="1167"/>
      <c r="D182" s="1167"/>
      <c r="E182" s="1167"/>
      <c r="F182" s="573"/>
    </row>
    <row r="183" spans="1:7">
      <c r="F183" s="573"/>
    </row>
    <row r="184" spans="1:7">
      <c r="F184" s="573"/>
    </row>
    <row r="185" spans="1:7">
      <c r="F185" s="573"/>
    </row>
    <row r="186" spans="1:7">
      <c r="F186" s="573"/>
    </row>
    <row r="187" spans="1:7">
      <c r="F187" s="573"/>
    </row>
    <row r="188" spans="1:7">
      <c r="F188" s="573"/>
    </row>
    <row r="189" spans="1:7">
      <c r="F189" s="573"/>
    </row>
    <row r="190" spans="1:7">
      <c r="F190" s="573"/>
    </row>
    <row r="191" spans="1:7">
      <c r="F191" s="573"/>
    </row>
    <row r="192" spans="1:7">
      <c r="F192" s="573"/>
    </row>
    <row r="193" spans="6:6">
      <c r="F193" s="573"/>
    </row>
    <row r="194" spans="6:6">
      <c r="F194" s="573"/>
    </row>
    <row r="195" spans="6:6">
      <c r="F195" s="573"/>
    </row>
    <row r="196" spans="6:6">
      <c r="F196" s="573"/>
    </row>
  </sheetData>
  <mergeCells count="63">
    <mergeCell ref="B173:E173"/>
    <mergeCell ref="B182:E182"/>
    <mergeCell ref="F160:I160"/>
    <mergeCell ref="B48:E48"/>
    <mergeCell ref="D1:E1"/>
    <mergeCell ref="B2:E2"/>
    <mergeCell ref="B5:E5"/>
    <mergeCell ref="B21:E21"/>
    <mergeCell ref="B41:E41"/>
    <mergeCell ref="B44:E44"/>
    <mergeCell ref="B43:E43"/>
    <mergeCell ref="B47:E47"/>
    <mergeCell ref="B4:E4"/>
    <mergeCell ref="B133:D133"/>
    <mergeCell ref="B52:E52"/>
    <mergeCell ref="B69:E69"/>
    <mergeCell ref="B82:E82"/>
    <mergeCell ref="B95:E95"/>
    <mergeCell ref="B108:E108"/>
    <mergeCell ref="B115:E115"/>
    <mergeCell ref="B116:E116"/>
    <mergeCell ref="B126:E126"/>
    <mergeCell ref="B127:E127"/>
    <mergeCell ref="B131:D131"/>
    <mergeCell ref="B132:D132"/>
    <mergeCell ref="B134:D134"/>
    <mergeCell ref="B136:E136"/>
    <mergeCell ref="B137:E137"/>
    <mergeCell ref="B138:E138"/>
    <mergeCell ref="B139:E139"/>
    <mergeCell ref="B140:E140"/>
    <mergeCell ref="B141:E141"/>
    <mergeCell ref="B142:E142"/>
    <mergeCell ref="B143:E143"/>
    <mergeCell ref="B144:E144"/>
    <mergeCell ref="B145:E145"/>
    <mergeCell ref="B156:E156"/>
    <mergeCell ref="B146:E146"/>
    <mergeCell ref="B147:E147"/>
    <mergeCell ref="B148:E148"/>
    <mergeCell ref="B149:E149"/>
    <mergeCell ref="B150:E150"/>
    <mergeCell ref="B151:E151"/>
    <mergeCell ref="B152:E152"/>
    <mergeCell ref="B153:E153"/>
    <mergeCell ref="B154:E154"/>
    <mergeCell ref="B155:E155"/>
    <mergeCell ref="B181:E181"/>
    <mergeCell ref="B106:E106"/>
    <mergeCell ref="B179:E179"/>
    <mergeCell ref="B180:E180"/>
    <mergeCell ref="B178:E178"/>
    <mergeCell ref="B157:E157"/>
    <mergeCell ref="B158:E158"/>
    <mergeCell ref="B159:E159"/>
    <mergeCell ref="B160:E160"/>
    <mergeCell ref="B161:E161"/>
    <mergeCell ref="B164:E164"/>
    <mergeCell ref="B166:E166"/>
    <mergeCell ref="B167:E167"/>
    <mergeCell ref="B172:E172"/>
    <mergeCell ref="B174:E174"/>
    <mergeCell ref="B176:E176"/>
  </mergeCells>
  <pageMargins left="0.78740157480314965" right="0.78740157480314965" top="0.39370078740157483" bottom="0.35433070866141736" header="0.43307086614173229" footer="0.23622047244094491"/>
  <pageSetup paperSize="9" scale="88" fitToHeight="0" orientation="portrait" r:id="rId1"/>
  <headerFooter alignWithMargins="0">
    <oddFooter>&amp;CSida &amp;P(&amp;N)</oddFooter>
  </headerFooter>
  <rowBreaks count="3" manualBreakCount="3">
    <brk id="41" max="16383" man="1"/>
    <brk id="81" max="16383" man="1"/>
    <brk id="125" max="16383" man="1"/>
  </rowBreaks>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pageSetUpPr fitToPage="1"/>
  </sheetPr>
  <dimension ref="A1:AC67"/>
  <sheetViews>
    <sheetView showGridLines="0" view="pageBreakPreview" zoomScale="90" zoomScaleNormal="100" zoomScaleSheetLayoutView="90" workbookViewId="0">
      <pane ySplit="2" topLeftCell="A3" activePane="bottomLeft" state="frozen"/>
      <selection activeCell="B24" sqref="B24"/>
      <selection pane="bottomLeft" activeCell="H18" sqref="H18"/>
    </sheetView>
  </sheetViews>
  <sheetFormatPr defaultColWidth="9.140625" defaultRowHeight="12.75"/>
  <cols>
    <col min="1" max="1" width="6.85546875" style="50" customWidth="1"/>
    <col min="2" max="2" width="54.5703125" style="50" customWidth="1"/>
    <col min="3" max="4" width="10.5703125" style="191" customWidth="1"/>
    <col min="5" max="5" width="12.85546875" style="191" customWidth="1"/>
    <col min="6" max="6" width="18.85546875" style="573" bestFit="1" customWidth="1"/>
    <col min="7" max="7" width="7.140625" style="468" customWidth="1"/>
    <col min="8" max="8" width="9.140625" style="116"/>
    <col min="9" max="9" width="68" style="116" customWidth="1"/>
    <col min="10" max="12" width="9.140625" style="116"/>
    <col min="13" max="29" width="9.140625" style="51"/>
    <col min="30" max="16384" width="9.140625" style="116"/>
  </cols>
  <sheetData>
    <row r="1" spans="1:12" ht="9" customHeight="1" thickBot="1">
      <c r="A1" s="142"/>
      <c r="B1" s="113"/>
      <c r="C1" s="113"/>
      <c r="D1" s="113"/>
      <c r="E1" s="113"/>
      <c r="G1" s="264"/>
      <c r="H1" s="50"/>
      <c r="I1" s="50"/>
      <c r="J1" s="50"/>
      <c r="K1" s="50"/>
      <c r="L1" s="50"/>
    </row>
    <row r="2" spans="1:12" s="51" customFormat="1" ht="18.75" customHeight="1" thickBot="1">
      <c r="A2" s="142"/>
      <c r="B2" s="1112" t="s">
        <v>2</v>
      </c>
      <c r="C2" s="1062"/>
      <c r="D2" s="1062"/>
      <c r="E2" s="1113"/>
      <c r="F2" s="877" t="s">
        <v>550</v>
      </c>
      <c r="G2" s="264"/>
      <c r="H2" s="50"/>
    </row>
    <row r="3" spans="1:12" ht="23.25" customHeight="1">
      <c r="A3" s="142"/>
      <c r="B3" s="1114" t="str">
        <f>CONCATENATE("Fråga 30: Terminering av inkommande trafik till eget mobilnät under ",'Om detta formulär'!C6,":")</f>
        <v>Fråga 30: Terminering av inkommande trafik till eget mobilnät under 2019:</v>
      </c>
      <c r="C3" s="1115"/>
      <c r="D3" s="1115"/>
      <c r="E3" s="1116"/>
      <c r="F3" s="50"/>
      <c r="G3" s="264"/>
      <c r="H3" s="541"/>
      <c r="I3" s="50"/>
      <c r="J3" s="50"/>
      <c r="K3" s="50"/>
      <c r="L3" s="50"/>
    </row>
    <row r="4" spans="1:12">
      <c r="A4" s="142"/>
      <c r="B4" s="164"/>
      <c r="C4" s="165"/>
      <c r="D4" s="166"/>
      <c r="E4" s="167" t="s">
        <v>33</v>
      </c>
      <c r="G4" s="264"/>
      <c r="H4" s="50"/>
      <c r="I4" s="50"/>
      <c r="J4" s="50"/>
      <c r="K4" s="50"/>
      <c r="L4" s="50"/>
    </row>
    <row r="5" spans="1:12" ht="15.75">
      <c r="A5" s="142"/>
      <c r="B5" s="1140" t="s">
        <v>13</v>
      </c>
      <c r="C5" s="1185"/>
      <c r="D5" s="1185"/>
      <c r="E5" s="168"/>
      <c r="G5" s="264"/>
      <c r="H5" s="50"/>
      <c r="I5" s="50"/>
      <c r="J5" s="50"/>
      <c r="K5" s="50"/>
      <c r="L5" s="50"/>
    </row>
    <row r="6" spans="1:12" s="51" customFormat="1" ht="15.75">
      <c r="A6" s="142"/>
      <c r="B6" s="132"/>
      <c r="C6" s="169"/>
      <c r="D6" s="169"/>
      <c r="E6" s="170"/>
      <c r="F6" s="808"/>
      <c r="G6" s="360"/>
    </row>
    <row r="7" spans="1:12" ht="36.75" customHeight="1">
      <c r="A7" s="142"/>
      <c r="B7" s="1075" t="str">
        <f>CONCATENATE("Fråga 31: Samtrafikintäkter [",'Samtrafik i mobilnät'!A45,"] (tusentals kronor) i mobilnät inkl. koncerninterna intäkter under ",'Om detta formulär'!C6,":")</f>
        <v>Fråga 31: Samtrafikintäkter [1] (tusentals kronor) i mobilnät inkl. koncerninterna intäkter under 2019:</v>
      </c>
      <c r="C7" s="1076"/>
      <c r="D7" s="1076"/>
      <c r="E7" s="1077"/>
      <c r="G7" s="264"/>
      <c r="H7" s="50"/>
      <c r="I7" s="50"/>
      <c r="J7" s="50"/>
      <c r="K7" s="50"/>
      <c r="L7" s="50"/>
    </row>
    <row r="8" spans="1:12" ht="24.75" customHeight="1">
      <c r="A8" s="142"/>
      <c r="B8" s="171"/>
      <c r="C8" s="599"/>
      <c r="D8" s="599"/>
      <c r="E8" s="173" t="s">
        <v>20</v>
      </c>
      <c r="G8" s="264"/>
      <c r="H8" s="50"/>
      <c r="I8" s="50"/>
      <c r="J8" s="50"/>
      <c r="K8" s="50"/>
      <c r="L8" s="50"/>
    </row>
    <row r="9" spans="1:12" ht="19.350000000000001" customHeight="1">
      <c r="A9" s="142"/>
      <c r="B9" s="1154" t="str">
        <f>CONCATENATE("Terminering av inkommande [",'Samtrafik i mobilnät'!A46,"] rösttrafik från nationella operatörers nät:")</f>
        <v>Terminering av inkommande [2] rösttrafik från nationella operatörers nät:</v>
      </c>
      <c r="C9" s="1198"/>
      <c r="D9" s="1202"/>
      <c r="E9" s="472"/>
      <c r="G9" s="264"/>
      <c r="H9" s="50"/>
      <c r="I9" s="50"/>
      <c r="J9" s="50"/>
      <c r="K9" s="50"/>
      <c r="L9" s="50"/>
    </row>
    <row r="10" spans="1:12" ht="17.100000000000001" customHeight="1">
      <c r="A10" s="142"/>
      <c r="B10" s="1154" t="s">
        <v>27</v>
      </c>
      <c r="C10" s="1198"/>
      <c r="D10" s="1202"/>
      <c r="E10" s="472"/>
      <c r="G10" s="264"/>
      <c r="H10" s="50"/>
      <c r="I10" s="50"/>
      <c r="J10" s="50"/>
      <c r="K10" s="50"/>
      <c r="L10" s="50"/>
    </row>
    <row r="11" spans="1:12" ht="17.100000000000001" customHeight="1">
      <c r="A11" s="142"/>
      <c r="B11" s="1154" t="s">
        <v>144</v>
      </c>
      <c r="C11" s="1198"/>
      <c r="D11" s="1202"/>
      <c r="E11" s="472"/>
      <c r="G11" s="264"/>
      <c r="H11" s="50"/>
      <c r="I11" s="50"/>
      <c r="J11" s="50"/>
      <c r="K11" s="50"/>
      <c r="L11" s="50"/>
    </row>
    <row r="12" spans="1:12" s="50" customFormat="1" ht="17.100000000000001" customHeight="1">
      <c r="A12" s="142"/>
      <c r="B12" s="1123" t="s">
        <v>412</v>
      </c>
      <c r="C12" s="1124"/>
      <c r="D12" s="1125"/>
      <c r="E12" s="863"/>
      <c r="F12" s="544" t="s">
        <v>408</v>
      </c>
      <c r="G12" s="264"/>
    </row>
    <row r="13" spans="1:12" ht="17.100000000000001" customHeight="1">
      <c r="A13" s="142"/>
      <c r="B13" s="1154" t="s">
        <v>128</v>
      </c>
      <c r="C13" s="1198"/>
      <c r="D13" s="1202"/>
      <c r="E13" s="472"/>
      <c r="G13" s="264"/>
      <c r="H13" s="50"/>
      <c r="I13" s="50"/>
      <c r="J13" s="50"/>
      <c r="K13" s="50"/>
      <c r="L13" s="50"/>
    </row>
    <row r="14" spans="1:12" ht="17.100000000000001" customHeight="1" thickBot="1">
      <c r="A14" s="142"/>
      <c r="B14" s="1154" t="s">
        <v>182</v>
      </c>
      <c r="C14" s="1198"/>
      <c r="D14" s="1202"/>
      <c r="E14" s="472"/>
      <c r="G14" s="264"/>
      <c r="H14" s="50"/>
      <c r="I14" s="50"/>
      <c r="J14" s="50"/>
      <c r="K14" s="50"/>
      <c r="L14" s="50"/>
    </row>
    <row r="15" spans="1:12" ht="17.100000000000001" customHeight="1" thickTop="1">
      <c r="A15" s="142"/>
      <c r="B15" s="1199" t="s">
        <v>3</v>
      </c>
      <c r="C15" s="1200"/>
      <c r="D15" s="1201"/>
      <c r="E15" s="380" t="str">
        <f>IF(SUM(E9,E11:E11,E13:E14)=0," ",SUM(E9,E11:E11,E13:E14))</f>
        <v xml:space="preserve"> </v>
      </c>
      <c r="G15" s="264"/>
      <c r="H15" s="50"/>
      <c r="I15" s="50"/>
      <c r="J15" s="50"/>
      <c r="K15" s="50"/>
      <c r="L15" s="50"/>
    </row>
    <row r="16" spans="1:12" s="51" customFormat="1" ht="17.100000000000001" customHeight="1">
      <c r="A16" s="142"/>
      <c r="B16" s="176"/>
      <c r="C16" s="177"/>
      <c r="D16" s="177"/>
      <c r="E16" s="177"/>
      <c r="F16" s="808"/>
      <c r="G16" s="360"/>
    </row>
    <row r="17" spans="1:29" ht="31.5" customHeight="1">
      <c r="A17" s="142"/>
      <c r="B17" s="1075" t="str">
        <f>CONCATENATE("Fråga 32: Samtrafikminuter (i tusental) i mobilnät  inkl. koncernintern trafik under ",'Om detta formulär'!C6,":")</f>
        <v>Fråga 32: Samtrafikminuter (i tusental) i mobilnät  inkl. koncernintern trafik under 2019:</v>
      </c>
      <c r="C17" s="1076"/>
      <c r="D17" s="1076"/>
      <c r="E17" s="1077"/>
      <c r="G17" s="264"/>
      <c r="H17" s="50"/>
      <c r="I17" s="50"/>
      <c r="J17" s="50"/>
      <c r="K17" s="50"/>
      <c r="L17" s="50"/>
    </row>
    <row r="18" spans="1:29" ht="27" customHeight="1">
      <c r="A18" s="142"/>
      <c r="B18" s="171"/>
      <c r="C18" s="599"/>
      <c r="D18" s="599"/>
      <c r="E18" s="173" t="s">
        <v>20</v>
      </c>
      <c r="G18" s="264"/>
      <c r="H18" s="50"/>
      <c r="I18" s="50"/>
      <c r="J18" s="50"/>
      <c r="K18" s="50"/>
      <c r="L18" s="50"/>
    </row>
    <row r="19" spans="1:29" ht="27.75" customHeight="1">
      <c r="A19" s="142"/>
      <c r="B19" s="1154" t="str">
        <f>CONCATENATE("Antal terminerade samtalsminuter[",'Samtrafik i mobilnät'!A47,"] från nationella oper. nät:")</f>
        <v>Antal terminerade samtalsminuter[3] från nationella oper. nät:</v>
      </c>
      <c r="C19" s="1198"/>
      <c r="D19" s="1198"/>
      <c r="E19" s="472"/>
      <c r="G19" s="264"/>
      <c r="H19" s="50"/>
      <c r="I19" s="50"/>
      <c r="J19" s="50"/>
      <c r="K19" s="50"/>
      <c r="L19" s="50"/>
    </row>
    <row r="20" spans="1:29" ht="17.100000000000001" customHeight="1">
      <c r="A20" s="142"/>
      <c r="B20" s="1154" t="s">
        <v>4</v>
      </c>
      <c r="C20" s="1198"/>
      <c r="D20" s="1198"/>
      <c r="E20" s="663"/>
      <c r="G20" s="264"/>
      <c r="H20" s="50"/>
      <c r="I20" s="50"/>
      <c r="J20" s="50"/>
      <c r="K20" s="50"/>
      <c r="L20" s="50"/>
    </row>
    <row r="21" spans="1:29" ht="17.100000000000001" customHeight="1">
      <c r="A21" s="142"/>
      <c r="B21" s="1154" t="s">
        <v>29</v>
      </c>
      <c r="C21" s="1198"/>
      <c r="D21" s="1198"/>
      <c r="E21" s="663"/>
      <c r="F21" s="593"/>
      <c r="G21" s="264"/>
      <c r="H21" s="50"/>
      <c r="I21" s="50"/>
      <c r="J21" s="50"/>
      <c r="K21" s="50"/>
      <c r="L21" s="50"/>
    </row>
    <row r="22" spans="1:29" s="50" customFormat="1" ht="17.100000000000001" customHeight="1" thickBot="1">
      <c r="A22" s="142"/>
      <c r="B22" s="1123" t="s">
        <v>434</v>
      </c>
      <c r="C22" s="1124"/>
      <c r="D22" s="1125"/>
      <c r="E22" s="620"/>
      <c r="F22" s="544" t="s">
        <v>498</v>
      </c>
      <c r="G22" s="264"/>
    </row>
    <row r="23" spans="1:29" ht="17.100000000000001" customHeight="1" thickTop="1">
      <c r="A23" s="142"/>
      <c r="B23" s="1199" t="s">
        <v>5</v>
      </c>
      <c r="C23" s="1200"/>
      <c r="D23" s="1201"/>
      <c r="E23" s="448" t="str">
        <f>IF(SUM(E19,E21)=0," ",SUM(E19,E21))</f>
        <v xml:space="preserve"> </v>
      </c>
      <c r="G23" s="264"/>
      <c r="H23" s="50"/>
      <c r="I23" s="50"/>
      <c r="J23" s="50"/>
      <c r="K23" s="50"/>
      <c r="L23" s="50"/>
    </row>
    <row r="24" spans="1:29" s="51" customFormat="1" ht="15">
      <c r="A24" s="142"/>
      <c r="B24" s="66"/>
      <c r="C24" s="66"/>
      <c r="D24" s="66"/>
      <c r="E24" s="66"/>
      <c r="F24" s="808"/>
      <c r="G24" s="360"/>
    </row>
    <row r="25" spans="1:29" s="142" customFormat="1" ht="33.75" customHeight="1">
      <c r="B25" s="1120" t="str">
        <f>CONCATENATE("Fråga borttagen: Antal terminerade trafikminuter (tusental) från egna kunder (inkl. terminerad trafik inom eget nät) under ",'Om detta formulär'!C6,":")</f>
        <v>Fråga borttagen: Antal terminerade trafikminuter (tusental) från egna kunder (inkl. terminerad trafik inom eget nät) under 2019:</v>
      </c>
      <c r="C25" s="1121"/>
      <c r="D25" s="1121"/>
      <c r="E25" s="1122"/>
      <c r="F25" s="544" t="s">
        <v>500</v>
      </c>
      <c r="G25" s="264"/>
      <c r="H25" s="50"/>
      <c r="I25" s="50"/>
      <c r="J25" s="50"/>
      <c r="K25" s="50"/>
      <c r="L25" s="50"/>
      <c r="M25" s="51"/>
      <c r="N25" s="51"/>
      <c r="O25" s="51"/>
      <c r="P25" s="51"/>
      <c r="Q25" s="51"/>
      <c r="R25" s="51"/>
      <c r="S25" s="51"/>
      <c r="T25" s="51"/>
      <c r="U25" s="51"/>
      <c r="V25" s="51"/>
      <c r="W25" s="51"/>
      <c r="X25" s="51"/>
      <c r="Y25" s="51"/>
      <c r="Z25" s="51"/>
      <c r="AA25" s="51"/>
      <c r="AB25" s="51"/>
      <c r="AC25" s="51"/>
    </row>
    <row r="26" spans="1:29" s="51" customFormat="1" ht="15.95" customHeight="1">
      <c r="A26" s="142"/>
      <c r="B26" s="183"/>
      <c r="C26" s="184"/>
      <c r="D26" s="184"/>
      <c r="E26" s="184"/>
      <c r="F26" s="808"/>
      <c r="G26" s="360"/>
    </row>
    <row r="27" spans="1:29" ht="35.25" customHeight="1">
      <c r="A27" s="142"/>
      <c r="B27" s="1195" t="str">
        <f>CONCATENATE("Fråga 33: Originerande trafikminuter (i tusental) i eget mobilnät [",'Samtrafik i mobilnät'!A48,"] som går via direktförbindelse[",'Samtrafik i mobilnät'!A49,"] under ",'Om detta formulär'!C6,":")</f>
        <v>Fråga 33: Originerande trafikminuter (i tusental) i eget mobilnät [4] som går via direktförbindelse[5] under 2019:</v>
      </c>
      <c r="C27" s="1196"/>
      <c r="D27" s="1196"/>
      <c r="E27" s="1197"/>
      <c r="F27" s="50" t="s">
        <v>501</v>
      </c>
      <c r="H27" s="50"/>
      <c r="I27" s="50"/>
      <c r="J27" s="50"/>
      <c r="K27" s="50"/>
      <c r="L27" s="50"/>
    </row>
    <row r="28" spans="1:29" ht="15.95" customHeight="1">
      <c r="A28" s="142"/>
      <c r="B28" s="186"/>
      <c r="C28" s="1192" t="s">
        <v>65</v>
      </c>
      <c r="D28" s="1193"/>
      <c r="E28" s="1194"/>
      <c r="G28" s="264"/>
      <c r="H28" s="50"/>
      <c r="I28" s="50"/>
      <c r="J28" s="50"/>
      <c r="K28" s="50"/>
      <c r="L28" s="50"/>
    </row>
    <row r="29" spans="1:29" ht="15.95" customHeight="1">
      <c r="A29" s="142"/>
      <c r="B29" s="187" t="s">
        <v>58</v>
      </c>
      <c r="C29" s="165" t="s">
        <v>69</v>
      </c>
      <c r="D29" s="165" t="s">
        <v>70</v>
      </c>
      <c r="E29" s="154" t="s">
        <v>198</v>
      </c>
      <c r="G29" s="264"/>
      <c r="H29" s="50"/>
      <c r="I29" s="50"/>
      <c r="J29" s="50"/>
      <c r="K29" s="50"/>
      <c r="L29" s="50"/>
    </row>
    <row r="30" spans="1:29" ht="15.95" customHeight="1">
      <c r="A30" s="142"/>
      <c r="B30" s="188"/>
      <c r="C30" s="189"/>
      <c r="D30" s="189"/>
      <c r="E30" s="128" t="str">
        <f>IF(SUM(C30:D30)=0," ",SUM(C30:D30))</f>
        <v xml:space="preserve"> </v>
      </c>
      <c r="G30" s="264"/>
      <c r="H30" s="50"/>
      <c r="I30" s="50"/>
      <c r="J30" s="50"/>
      <c r="K30" s="50"/>
      <c r="L30" s="50"/>
    </row>
    <row r="31" spans="1:29" ht="15.95" customHeight="1">
      <c r="A31" s="142"/>
      <c r="B31" s="188"/>
      <c r="C31" s="189"/>
      <c r="D31" s="189"/>
      <c r="E31" s="128" t="str">
        <f>IF(SUM(C31:D31)=0," ",SUM(C31:D31))</f>
        <v xml:space="preserve"> </v>
      </c>
      <c r="G31" s="264"/>
      <c r="H31" s="50"/>
      <c r="I31" s="50"/>
      <c r="J31" s="50"/>
      <c r="K31" s="50"/>
      <c r="L31" s="50"/>
    </row>
    <row r="32" spans="1:29" ht="15.95" customHeight="1">
      <c r="A32" s="142"/>
      <c r="B32" s="188"/>
      <c r="C32" s="189"/>
      <c r="D32" s="189"/>
      <c r="E32" s="128" t="str">
        <f>IF(SUM(C32:D32)=0," ",SUM(C32:D32))</f>
        <v xml:space="preserve"> </v>
      </c>
      <c r="G32" s="264"/>
      <c r="H32" s="50"/>
      <c r="I32" s="50"/>
      <c r="J32" s="50"/>
      <c r="K32" s="50"/>
      <c r="L32" s="50"/>
    </row>
    <row r="33" spans="1:29" ht="15.95" customHeight="1">
      <c r="A33" s="142"/>
      <c r="B33" s="876" t="s">
        <v>403</v>
      </c>
      <c r="C33" s="189"/>
      <c r="D33" s="189"/>
      <c r="E33" s="128" t="str">
        <f>IF(SUM(C33:D33)=0," ",SUM(C33:D33))</f>
        <v xml:space="preserve"> </v>
      </c>
      <c r="F33" s="544" t="s">
        <v>472</v>
      </c>
      <c r="G33" s="264"/>
      <c r="H33" s="50"/>
      <c r="I33" s="50"/>
      <c r="J33" s="50"/>
      <c r="K33" s="50"/>
      <c r="L33" s="50"/>
    </row>
    <row r="34" spans="1:29" ht="15.95" customHeight="1">
      <c r="A34" s="142"/>
      <c r="B34" s="876" t="s">
        <v>404</v>
      </c>
      <c r="C34" s="189"/>
      <c r="D34" s="189"/>
      <c r="E34" s="274" t="str">
        <f>IF(SUM(C34:D34)=0," ",SUM(C34:D34))</f>
        <v xml:space="preserve"> </v>
      </c>
      <c r="F34" s="544"/>
      <c r="G34" s="264"/>
      <c r="H34" s="50"/>
      <c r="I34" s="50"/>
      <c r="J34" s="50"/>
      <c r="K34" s="50"/>
      <c r="L34" s="50"/>
    </row>
    <row r="35" spans="1:29" s="51" customFormat="1" ht="15.95" customHeight="1">
      <c r="A35" s="142"/>
      <c r="B35" s="190"/>
      <c r="C35" s="131"/>
      <c r="D35" s="131"/>
      <c r="E35" s="528"/>
      <c r="F35" s="808"/>
      <c r="G35" s="360"/>
    </row>
    <row r="36" spans="1:29" ht="31.5" customHeight="1">
      <c r="A36" s="142"/>
      <c r="B36" s="1195" t="str">
        <f>CONCATENATE("Fråga 34:Originerande trafikminuter (i tusental) i eget mobilnät som går via transitoperatör[",'Samtrafik i mobilnät'!A50,"] vidare till terminerande operatör [",'Samtrafik i mobilnät'!A48,"] under ",'Om detta formulär'!C6,":")</f>
        <v>Fråga 34:Originerande trafikminuter (i tusental) i eget mobilnät som går via transitoperatör[6] vidare till terminerande operatör [4] under 2019:</v>
      </c>
      <c r="C36" s="1196"/>
      <c r="D36" s="1196"/>
      <c r="E36" s="1197"/>
      <c r="F36" s="50" t="s">
        <v>502</v>
      </c>
      <c r="G36" s="264"/>
      <c r="H36" s="50"/>
      <c r="I36" s="50"/>
      <c r="J36" s="50"/>
      <c r="K36" s="50"/>
      <c r="L36" s="50"/>
    </row>
    <row r="37" spans="1:29" ht="15.95" customHeight="1">
      <c r="A37" s="142"/>
      <c r="B37" s="186"/>
      <c r="C37" s="1192" t="s">
        <v>68</v>
      </c>
      <c r="D37" s="1193"/>
      <c r="E37" s="1194"/>
      <c r="G37" s="264"/>
      <c r="H37" s="503"/>
      <c r="I37" s="50"/>
      <c r="J37" s="50"/>
      <c r="K37" s="50"/>
      <c r="L37" s="50"/>
    </row>
    <row r="38" spans="1:29" ht="15.95" customHeight="1">
      <c r="A38" s="142"/>
      <c r="B38" s="187" t="s">
        <v>58</v>
      </c>
      <c r="C38" s="165" t="s">
        <v>66</v>
      </c>
      <c r="D38" s="165" t="s">
        <v>67</v>
      </c>
      <c r="E38" s="154" t="s">
        <v>20</v>
      </c>
      <c r="F38" s="544"/>
      <c r="G38" s="264"/>
      <c r="H38" s="50"/>
      <c r="I38" s="50"/>
      <c r="J38" s="50"/>
      <c r="K38" s="50"/>
      <c r="L38" s="50"/>
    </row>
    <row r="39" spans="1:29" ht="15.95" customHeight="1">
      <c r="A39" s="142"/>
      <c r="B39" s="188"/>
      <c r="C39" s="189"/>
      <c r="D39" s="189"/>
      <c r="E39" s="128" t="str">
        <f>IF(SUM(C39:D39)=0," ",SUM(C39:D39))</f>
        <v xml:space="preserve"> </v>
      </c>
      <c r="G39" s="264"/>
      <c r="H39" s="50"/>
      <c r="I39" s="50"/>
      <c r="J39" s="50"/>
      <c r="K39" s="50"/>
      <c r="L39" s="50"/>
    </row>
    <row r="40" spans="1:29" ht="15.95" customHeight="1">
      <c r="A40" s="142"/>
      <c r="B40" s="188"/>
      <c r="C40" s="189"/>
      <c r="D40" s="189"/>
      <c r="E40" s="128" t="str">
        <f>IF(SUM(C40:D40)=0," ",SUM(C40:D40))</f>
        <v xml:space="preserve"> </v>
      </c>
      <c r="G40" s="264"/>
      <c r="H40" s="50"/>
      <c r="I40" s="50"/>
      <c r="J40" s="50"/>
      <c r="K40" s="50"/>
      <c r="L40" s="50"/>
    </row>
    <row r="41" spans="1:29" ht="15.95" customHeight="1">
      <c r="A41" s="142"/>
      <c r="B41" s="188"/>
      <c r="C41" s="189"/>
      <c r="D41" s="189"/>
      <c r="E41" s="128" t="str">
        <f>IF(SUM(C41:D41)=0," ",SUM(C41:D41))</f>
        <v xml:space="preserve"> </v>
      </c>
      <c r="G41" s="264"/>
      <c r="H41" s="50"/>
      <c r="I41" s="50"/>
      <c r="J41" s="50"/>
      <c r="K41" s="50"/>
      <c r="L41" s="50"/>
    </row>
    <row r="42" spans="1:29" s="862" customFormat="1" ht="15.95" customHeight="1">
      <c r="A42" s="142"/>
      <c r="B42" s="876" t="s">
        <v>403</v>
      </c>
      <c r="C42" s="189"/>
      <c r="D42" s="189"/>
      <c r="E42" s="128" t="str">
        <f>IF(SUM(C42:D42)=0," ",SUM(C42:D42))</f>
        <v xml:space="preserve"> </v>
      </c>
      <c r="F42" s="544" t="s">
        <v>472</v>
      </c>
      <c r="G42" s="264"/>
      <c r="H42" s="50"/>
      <c r="I42" s="50"/>
      <c r="J42" s="50"/>
      <c r="K42" s="50"/>
      <c r="L42" s="50"/>
      <c r="M42" s="51"/>
      <c r="N42" s="51"/>
      <c r="O42" s="51"/>
      <c r="P42" s="51"/>
      <c r="Q42" s="51"/>
      <c r="R42" s="51"/>
      <c r="S42" s="51"/>
      <c r="T42" s="51"/>
      <c r="U42" s="51"/>
      <c r="V42" s="51"/>
      <c r="W42" s="51"/>
      <c r="X42" s="51"/>
      <c r="Y42" s="51"/>
      <c r="Z42" s="51"/>
      <c r="AA42" s="51"/>
      <c r="AB42" s="51"/>
      <c r="AC42" s="51"/>
    </row>
    <row r="43" spans="1:29" s="862" customFormat="1" ht="15.95" customHeight="1">
      <c r="A43" s="142"/>
      <c r="B43" s="876" t="s">
        <v>404</v>
      </c>
      <c r="C43" s="189"/>
      <c r="D43" s="189"/>
      <c r="E43" s="274" t="str">
        <f>IF(SUM(C43:D43)=0," ",SUM(C43:D43))</f>
        <v xml:space="preserve"> </v>
      </c>
      <c r="F43" s="544"/>
      <c r="G43" s="264"/>
      <c r="H43" s="50"/>
      <c r="I43" s="50"/>
      <c r="J43" s="50"/>
      <c r="K43" s="50"/>
      <c r="L43" s="50"/>
      <c r="M43" s="51"/>
      <c r="N43" s="51"/>
      <c r="O43" s="51"/>
      <c r="P43" s="51"/>
      <c r="Q43" s="51"/>
      <c r="R43" s="51"/>
      <c r="S43" s="51"/>
      <c r="T43" s="51"/>
      <c r="U43" s="51"/>
      <c r="V43" s="51"/>
      <c r="W43" s="51"/>
      <c r="X43" s="51"/>
      <c r="Y43" s="51"/>
      <c r="Z43" s="51"/>
      <c r="AA43" s="51"/>
      <c r="AB43" s="51"/>
      <c r="AC43" s="51"/>
    </row>
    <row r="44" spans="1:29" ht="15.75">
      <c r="A44" s="142"/>
      <c r="B44" s="1126" t="s">
        <v>283</v>
      </c>
      <c r="C44" s="1126"/>
      <c r="D44" s="1126"/>
      <c r="E44" s="1126"/>
      <c r="F44" s="809"/>
      <c r="G44" s="264"/>
      <c r="H44" s="50"/>
      <c r="I44" s="50"/>
      <c r="J44" s="50"/>
      <c r="K44" s="50"/>
      <c r="L44" s="50"/>
    </row>
    <row r="45" spans="1:29">
      <c r="A45" s="142">
        <v>1</v>
      </c>
      <c r="B45" s="190" t="s">
        <v>122</v>
      </c>
      <c r="C45" s="467"/>
      <c r="D45" s="467"/>
      <c r="E45" s="467"/>
      <c r="G45" s="264"/>
      <c r="H45" s="50"/>
      <c r="I45" s="50"/>
      <c r="J45" s="50"/>
      <c r="K45" s="50"/>
      <c r="L45" s="50"/>
    </row>
    <row r="46" spans="1:29" ht="38.25">
      <c r="A46" s="65">
        <v>2</v>
      </c>
      <c r="B46" s="190" t="s">
        <v>262</v>
      </c>
      <c r="C46" s="467"/>
      <c r="D46" s="467"/>
      <c r="E46" s="467"/>
      <c r="F46" s="572"/>
      <c r="G46" s="193"/>
      <c r="H46" s="350"/>
      <c r="I46" s="350"/>
      <c r="J46" s="50"/>
      <c r="K46" s="50"/>
      <c r="L46" s="50"/>
    </row>
    <row r="47" spans="1:29" ht="38.25">
      <c r="A47" s="65">
        <v>3</v>
      </c>
      <c r="B47" s="190" t="s">
        <v>263</v>
      </c>
      <c r="C47" s="467"/>
      <c r="D47" s="467"/>
      <c r="E47" s="467"/>
      <c r="F47" s="572"/>
      <c r="G47" s="193"/>
      <c r="H47" s="350"/>
      <c r="I47" s="190"/>
      <c r="J47" s="50"/>
      <c r="K47" s="50"/>
      <c r="L47" s="50"/>
    </row>
    <row r="48" spans="1:29" ht="38.25">
      <c r="A48" s="65">
        <v>4</v>
      </c>
      <c r="B48" s="190" t="s">
        <v>123</v>
      </c>
      <c r="C48" s="467"/>
      <c r="D48" s="467"/>
      <c r="E48" s="467"/>
      <c r="F48" s="572"/>
      <c r="G48" s="193"/>
      <c r="H48" s="350"/>
      <c r="I48" s="190"/>
      <c r="J48" s="50"/>
      <c r="K48" s="50"/>
      <c r="L48" s="50"/>
    </row>
    <row r="49" spans="1:12" ht="38.25">
      <c r="A49" s="65">
        <v>5</v>
      </c>
      <c r="B49" s="190" t="s">
        <v>103</v>
      </c>
      <c r="C49" s="467"/>
      <c r="D49" s="467"/>
      <c r="E49" s="467"/>
      <c r="F49" s="572"/>
      <c r="G49" s="193"/>
      <c r="H49" s="350"/>
      <c r="I49" s="350"/>
      <c r="J49" s="50"/>
      <c r="K49" s="50"/>
      <c r="L49" s="50"/>
    </row>
    <row r="50" spans="1:12" ht="38.25">
      <c r="A50" s="65">
        <v>6</v>
      </c>
      <c r="B50" s="190" t="s">
        <v>104</v>
      </c>
      <c r="C50" s="467"/>
      <c r="D50" s="467"/>
      <c r="E50" s="467"/>
      <c r="F50" s="572"/>
      <c r="G50" s="193"/>
      <c r="H50" s="350"/>
      <c r="I50" s="350"/>
      <c r="J50" s="50"/>
      <c r="K50" s="50"/>
      <c r="L50" s="50"/>
    </row>
    <row r="51" spans="1:12">
      <c r="F51" s="572"/>
      <c r="G51" s="193"/>
      <c r="H51" s="350"/>
      <c r="I51" s="350"/>
      <c r="J51" s="50"/>
      <c r="K51" s="50"/>
      <c r="L51" s="50"/>
    </row>
    <row r="52" spans="1:12">
      <c r="G52" s="264"/>
      <c r="H52" s="50"/>
      <c r="I52" s="50"/>
      <c r="J52" s="50"/>
      <c r="K52" s="50"/>
      <c r="L52" s="50"/>
    </row>
    <row r="53" spans="1:12">
      <c r="G53" s="264"/>
      <c r="H53" s="50"/>
      <c r="I53" s="50"/>
      <c r="J53" s="50"/>
      <c r="K53" s="50"/>
      <c r="L53" s="50"/>
    </row>
    <row r="54" spans="1:12">
      <c r="G54" s="264"/>
      <c r="H54" s="50"/>
      <c r="I54" s="50"/>
      <c r="J54" s="50"/>
      <c r="K54" s="50"/>
      <c r="L54" s="50"/>
    </row>
    <row r="55" spans="1:12">
      <c r="G55" s="264"/>
      <c r="H55" s="50"/>
      <c r="I55" s="50"/>
      <c r="J55" s="50"/>
      <c r="K55" s="50"/>
      <c r="L55" s="50"/>
    </row>
    <row r="56" spans="1:12">
      <c r="G56" s="264"/>
      <c r="H56" s="50"/>
      <c r="I56" s="50"/>
      <c r="J56" s="50"/>
      <c r="K56" s="50"/>
      <c r="L56" s="50"/>
    </row>
    <row r="57" spans="1:12">
      <c r="G57" s="264"/>
      <c r="H57" s="50"/>
      <c r="I57" s="50"/>
      <c r="J57" s="50"/>
      <c r="K57" s="50"/>
      <c r="L57" s="50"/>
    </row>
    <row r="58" spans="1:12">
      <c r="G58" s="264"/>
      <c r="H58" s="50"/>
      <c r="I58" s="50"/>
      <c r="J58" s="50"/>
      <c r="K58" s="50"/>
      <c r="L58" s="50"/>
    </row>
    <row r="59" spans="1:12">
      <c r="G59" s="264"/>
      <c r="H59" s="50"/>
      <c r="I59" s="50"/>
      <c r="J59" s="50"/>
      <c r="K59" s="50"/>
      <c r="L59" s="50"/>
    </row>
    <row r="60" spans="1:12">
      <c r="G60" s="264"/>
      <c r="H60" s="50"/>
      <c r="I60" s="50"/>
      <c r="J60" s="50"/>
      <c r="K60" s="50"/>
      <c r="L60" s="50"/>
    </row>
    <row r="61" spans="1:12">
      <c r="G61" s="264"/>
      <c r="H61" s="50"/>
      <c r="I61" s="50"/>
      <c r="J61" s="50"/>
      <c r="K61" s="50"/>
      <c r="L61" s="50"/>
    </row>
    <row r="62" spans="1:12">
      <c r="G62" s="264"/>
      <c r="H62" s="50"/>
      <c r="I62" s="50"/>
      <c r="J62" s="50"/>
      <c r="K62" s="50"/>
      <c r="L62" s="50"/>
    </row>
    <row r="63" spans="1:12">
      <c r="G63" s="264"/>
      <c r="H63" s="50"/>
      <c r="I63" s="50"/>
      <c r="J63" s="50"/>
      <c r="K63" s="50"/>
      <c r="L63" s="50"/>
    </row>
    <row r="64" spans="1:12">
      <c r="G64" s="264"/>
      <c r="H64" s="50"/>
      <c r="I64" s="50"/>
      <c r="J64" s="50"/>
      <c r="K64" s="50"/>
      <c r="L64" s="50"/>
    </row>
    <row r="65" spans="7:12">
      <c r="G65" s="264"/>
      <c r="H65" s="50"/>
      <c r="I65" s="50"/>
      <c r="J65" s="50"/>
      <c r="K65" s="50"/>
      <c r="L65" s="50"/>
    </row>
    <row r="66" spans="7:12">
      <c r="G66" s="264"/>
      <c r="H66" s="50"/>
      <c r="I66" s="50"/>
      <c r="J66" s="50"/>
      <c r="K66" s="50"/>
      <c r="L66" s="50"/>
    </row>
    <row r="67" spans="7:12">
      <c r="G67" s="264"/>
      <c r="H67" s="50"/>
      <c r="I67" s="50"/>
      <c r="J67" s="50"/>
      <c r="K67" s="50"/>
      <c r="L67" s="50"/>
    </row>
  </sheetData>
  <mergeCells count="23">
    <mergeCell ref="B15:D15"/>
    <mergeCell ref="B14:D14"/>
    <mergeCell ref="B12:D12"/>
    <mergeCell ref="B9:D9"/>
    <mergeCell ref="B10:D10"/>
    <mergeCell ref="B11:D11"/>
    <mergeCell ref="B13:D13"/>
    <mergeCell ref="B22:D22"/>
    <mergeCell ref="B44:E44"/>
    <mergeCell ref="C37:E37"/>
    <mergeCell ref="B2:E2"/>
    <mergeCell ref="B3:E3"/>
    <mergeCell ref="B5:D5"/>
    <mergeCell ref="B7:E7"/>
    <mergeCell ref="B17:E17"/>
    <mergeCell ref="B25:E25"/>
    <mergeCell ref="B27:E27"/>
    <mergeCell ref="C28:E28"/>
    <mergeCell ref="B36:E36"/>
    <mergeCell ref="B19:D19"/>
    <mergeCell ref="B20:D20"/>
    <mergeCell ref="B21:D21"/>
    <mergeCell ref="B23:D23"/>
  </mergeCells>
  <dataValidations count="1">
    <dataValidation type="list" allowBlank="1" showInputMessage="1" showErrorMessage="1" sqref="E5:E6">
      <formula1>"Ja,Nej"</formula1>
    </dataValidation>
  </dataValidations>
  <pageMargins left="0.78740157480314965" right="0.78740157480314965" top="0.43307086614173229" bottom="0.35433070866141736" header="0.35433070866141736" footer="0.23622047244094491"/>
  <pageSetup paperSize="9" scale="91" fitToHeight="0" orientation="portrait" r:id="rId1"/>
  <headerFooter alignWithMargins="0">
    <oddFooter>&amp;CSida &amp;P(&amp;N)</oddFooter>
  </headerFooter>
  <rowBreaks count="1" manualBreakCount="1">
    <brk id="4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pageSetUpPr fitToPage="1"/>
  </sheetPr>
  <dimension ref="A1:AM111"/>
  <sheetViews>
    <sheetView showGridLines="0" view="pageBreakPreview" zoomScaleNormal="100" zoomScaleSheetLayoutView="100" workbookViewId="0">
      <pane ySplit="2" topLeftCell="A3" activePane="bottomLeft" state="frozen"/>
      <selection activeCell="B24" sqref="B24"/>
      <selection pane="bottomLeft" activeCell="F4" sqref="F4"/>
    </sheetView>
  </sheetViews>
  <sheetFormatPr defaultColWidth="9.140625" defaultRowHeight="12.75"/>
  <cols>
    <col min="1" max="1" width="4.140625" style="50" customWidth="1"/>
    <col min="2" max="2" width="59.85546875" style="50" bestFit="1" customWidth="1"/>
    <col min="3" max="3" width="12.5703125" style="158" customWidth="1"/>
    <col min="4" max="4" width="11.42578125" style="158" customWidth="1"/>
    <col min="5" max="5" width="15.85546875" style="158" customWidth="1"/>
    <col min="6" max="6" width="26.7109375" style="573" customWidth="1"/>
    <col min="7" max="7" width="8.5703125" style="264" customWidth="1"/>
    <col min="8" max="37" width="9.140625" style="50" customWidth="1"/>
    <col min="38" max="16384" width="9.140625" style="116"/>
  </cols>
  <sheetData>
    <row r="1" spans="1:39" ht="14.25" customHeight="1" thickBot="1">
      <c r="A1" s="142"/>
      <c r="B1" s="185"/>
      <c r="C1" s="185"/>
      <c r="D1" s="185"/>
      <c r="E1" s="185"/>
      <c r="F1" s="877" t="s">
        <v>550</v>
      </c>
    </row>
    <row r="2" spans="1:39" s="384" customFormat="1" ht="17.25" customHeight="1" thickBot="1">
      <c r="A2" s="142"/>
      <c r="B2" s="1203" t="s">
        <v>71</v>
      </c>
      <c r="C2" s="1204"/>
      <c r="D2" s="1204"/>
      <c r="E2" s="1205"/>
      <c r="F2" s="544"/>
      <c r="G2" s="264"/>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row>
    <row r="3" spans="1:39" ht="39.6" customHeight="1">
      <c r="A3" s="142"/>
      <c r="B3" s="1114" t="str">
        <f>CONCATENATE("Fråga 35: Antal aktiva abonnemang [1] på internettjänst (access) fördelat per accessform och hastighet nedströms den ",'Om detta formulär'!$C$10,":")</f>
        <v>Fråga 35: Antal aktiva abonnemang [1] på internettjänst (access) fördelat per accessform och hastighet nedströms den 31 dec 2019:</v>
      </c>
      <c r="C3" s="1115"/>
      <c r="D3" s="1115"/>
      <c r="E3" s="1116"/>
      <c r="F3" s="50" t="s">
        <v>503</v>
      </c>
      <c r="G3" s="544"/>
      <c r="H3" s="541"/>
    </row>
    <row r="4" spans="1:39">
      <c r="A4" s="142"/>
      <c r="B4" s="152"/>
      <c r="C4" s="153" t="s">
        <v>18</v>
      </c>
      <c r="D4" s="153" t="s">
        <v>19</v>
      </c>
      <c r="E4" s="154" t="s">
        <v>20</v>
      </c>
      <c r="F4" s="922"/>
      <c r="G4" s="544"/>
      <c r="H4" s="317"/>
    </row>
    <row r="5" spans="1:39" ht="16.5" customHeight="1">
      <c r="A5" s="142"/>
      <c r="B5" s="462" t="s">
        <v>47</v>
      </c>
      <c r="C5" s="701"/>
      <c r="D5" s="647"/>
      <c r="E5" s="702" t="str">
        <f t="shared" ref="E5:E13" si="0">IF(SUM(C5:D5)=0," ",SUM(C5:D5))</f>
        <v xml:space="preserve"> </v>
      </c>
      <c r="G5" s="544"/>
    </row>
    <row r="6" spans="1:39" s="50" customFormat="1" ht="16.5" customHeight="1">
      <c r="A6" s="142"/>
      <c r="B6" s="696" t="s">
        <v>24</v>
      </c>
      <c r="C6" s="490" t="str">
        <f>IF(SUM(C7:C11)=0," ",SUM(C7:C11))</f>
        <v xml:space="preserve"> </v>
      </c>
      <c r="D6" s="488" t="str">
        <f>IF(SUM(D7:D11)=0," ",SUM(D7:D11))</f>
        <v xml:space="preserve"> </v>
      </c>
      <c r="E6" s="485" t="str">
        <f t="shared" si="0"/>
        <v xml:space="preserve"> </v>
      </c>
      <c r="F6" s="544"/>
      <c r="G6" s="544"/>
    </row>
    <row r="7" spans="1:39" s="50" customFormat="1" ht="16.5" customHeight="1">
      <c r="A7" s="142"/>
      <c r="B7" s="261" t="s">
        <v>48</v>
      </c>
      <c r="C7" s="438"/>
      <c r="D7" s="126"/>
      <c r="E7" s="219" t="str">
        <f t="shared" si="0"/>
        <v xml:space="preserve"> </v>
      </c>
      <c r="F7" s="573"/>
      <c r="G7" s="544"/>
    </row>
    <row r="8" spans="1:39" s="50" customFormat="1" ht="16.5" customHeight="1">
      <c r="A8" s="142"/>
      <c r="B8" s="261" t="s">
        <v>49</v>
      </c>
      <c r="C8" s="438"/>
      <c r="D8" s="126"/>
      <c r="E8" s="219" t="str">
        <f t="shared" si="0"/>
        <v xml:space="preserve"> </v>
      </c>
      <c r="F8" s="573"/>
      <c r="G8" s="544"/>
    </row>
    <row r="9" spans="1:39" s="50" customFormat="1" ht="16.5" customHeight="1">
      <c r="A9" s="142"/>
      <c r="B9" s="261" t="s">
        <v>72</v>
      </c>
      <c r="C9" s="356"/>
      <c r="D9" s="127"/>
      <c r="E9" s="219" t="str">
        <f t="shared" si="0"/>
        <v xml:space="preserve"> </v>
      </c>
      <c r="F9" s="573"/>
      <c r="G9" s="544"/>
    </row>
    <row r="10" spans="1:39" s="50" customFormat="1" ht="16.5" customHeight="1">
      <c r="A10" s="142"/>
      <c r="B10" s="261" t="s">
        <v>136</v>
      </c>
      <c r="C10" s="494"/>
      <c r="D10" s="495"/>
      <c r="E10" s="496" t="str">
        <f t="shared" si="0"/>
        <v xml:space="preserve"> </v>
      </c>
      <c r="F10" s="573"/>
      <c r="G10" s="544"/>
    </row>
    <row r="11" spans="1:39" s="50" customFormat="1" ht="16.5" customHeight="1">
      <c r="A11" s="142"/>
      <c r="B11" s="262" t="s">
        <v>134</v>
      </c>
      <c r="C11" s="249"/>
      <c r="D11" s="486"/>
      <c r="E11" s="497" t="str">
        <f t="shared" si="0"/>
        <v xml:space="preserve"> </v>
      </c>
      <c r="F11" s="573"/>
      <c r="G11" s="544"/>
      <c r="AL11" s="776"/>
      <c r="AM11" s="776"/>
    </row>
    <row r="12" spans="1:39" ht="16.5" customHeight="1">
      <c r="A12" s="142"/>
      <c r="B12" s="696" t="s">
        <v>42</v>
      </c>
      <c r="C12" s="487" t="str">
        <f>IF(SUM(C13:C16,C19)=0," ",SUM(C13:C16,C19))</f>
        <v xml:space="preserve"> </v>
      </c>
      <c r="D12" s="488" t="str">
        <f>IF(SUM(D13:D16,D19)=0," ",SUM(D13:D16,D19))</f>
        <v xml:space="preserve"> </v>
      </c>
      <c r="E12" s="485" t="str">
        <f t="shared" si="0"/>
        <v xml:space="preserve"> </v>
      </c>
      <c r="F12" s="544"/>
      <c r="G12" s="544"/>
    </row>
    <row r="13" spans="1:39" ht="16.5" customHeight="1">
      <c r="A13" s="142"/>
      <c r="B13" s="210" t="s">
        <v>90</v>
      </c>
      <c r="C13" s="438"/>
      <c r="D13" s="126"/>
      <c r="E13" s="219" t="str">
        <f t="shared" si="0"/>
        <v xml:space="preserve"> </v>
      </c>
      <c r="G13" s="544"/>
    </row>
    <row r="14" spans="1:39" ht="16.5" customHeight="1">
      <c r="A14" s="142"/>
      <c r="B14" s="210" t="s">
        <v>91</v>
      </c>
      <c r="C14" s="438"/>
      <c r="D14" s="126"/>
      <c r="E14" s="219" t="str">
        <f t="shared" ref="E14:E36" si="1">IF(SUM(C14:D14)=0," ",SUM(C14:D14))</f>
        <v xml:space="preserve"> </v>
      </c>
      <c r="G14" s="544"/>
    </row>
    <row r="15" spans="1:39" ht="16.5" customHeight="1">
      <c r="A15" s="142"/>
      <c r="B15" s="210" t="s">
        <v>277</v>
      </c>
      <c r="C15" s="438"/>
      <c r="D15" s="126"/>
      <c r="E15" s="219" t="str">
        <f t="shared" si="1"/>
        <v xml:space="preserve"> </v>
      </c>
      <c r="G15" s="544"/>
    </row>
    <row r="16" spans="1:39" ht="16.5" customHeight="1">
      <c r="A16" s="142"/>
      <c r="B16" s="210" t="s">
        <v>135</v>
      </c>
      <c r="C16" s="438"/>
      <c r="D16" s="126"/>
      <c r="E16" s="219" t="str">
        <f t="shared" si="1"/>
        <v xml:space="preserve"> </v>
      </c>
      <c r="G16" s="544"/>
    </row>
    <row r="17" spans="1:8" ht="16.5" customHeight="1">
      <c r="A17" s="142"/>
      <c r="B17" s="515" t="s">
        <v>167</v>
      </c>
      <c r="C17" s="438"/>
      <c r="D17" s="126"/>
      <c r="E17" s="219" t="str">
        <f t="shared" si="1"/>
        <v xml:space="preserve"> </v>
      </c>
      <c r="F17" s="544"/>
      <c r="G17" s="544"/>
      <c r="H17" s="381"/>
    </row>
    <row r="18" spans="1:8" ht="16.5" customHeight="1">
      <c r="A18" s="142"/>
      <c r="B18" s="515" t="s">
        <v>168</v>
      </c>
      <c r="C18" s="438"/>
      <c r="D18" s="126"/>
      <c r="E18" s="219" t="str">
        <f t="shared" si="1"/>
        <v xml:space="preserve"> </v>
      </c>
      <c r="G18" s="544"/>
      <c r="H18" s="381"/>
    </row>
    <row r="19" spans="1:8" s="480" customFormat="1" ht="16.5" customHeight="1">
      <c r="A19" s="142"/>
      <c r="B19" s="210" t="s">
        <v>249</v>
      </c>
      <c r="C19" s="438"/>
      <c r="D19" s="126"/>
      <c r="E19" s="219" t="str">
        <f t="shared" si="1"/>
        <v xml:space="preserve"> </v>
      </c>
      <c r="F19" s="573"/>
      <c r="G19" s="544"/>
    </row>
    <row r="20" spans="1:8" s="480" customFormat="1" ht="16.5" customHeight="1">
      <c r="A20" s="142"/>
      <c r="B20" s="210"/>
      <c r="C20" s="438"/>
      <c r="D20" s="126"/>
      <c r="E20" s="219"/>
      <c r="F20" s="573"/>
      <c r="G20" s="544"/>
    </row>
    <row r="21" spans="1:8" ht="16.5" customHeight="1">
      <c r="A21" s="142"/>
      <c r="B21" s="708" t="str">
        <f>CONCATENATE("varav xDSL slutkunder ansl. via LLUB (fullt tillträde/ledning) [2]:")</f>
        <v>varav xDSL slutkunder ansl. via LLUB (fullt tillträde/ledning) [2]:</v>
      </c>
      <c r="C21" s="438"/>
      <c r="D21" s="126"/>
      <c r="E21" s="219" t="str">
        <f t="shared" si="1"/>
        <v xml:space="preserve"> </v>
      </c>
      <c r="F21" s="557"/>
      <c r="G21" s="544"/>
    </row>
    <row r="22" spans="1:8" s="50" customFormat="1" ht="16.5" customHeight="1">
      <c r="A22" s="142"/>
      <c r="B22" s="708" t="str">
        <f>CONCATENATE("varav xDSL slutkunder ansl. via LLUB (delat tillträde/ledning) [2] :")</f>
        <v>varav xDSL slutkunder ansl. via LLUB (delat tillträde/ledning) [2] :</v>
      </c>
      <c r="C22" s="438"/>
      <c r="D22" s="126"/>
      <c r="E22" s="219" t="str">
        <f t="shared" si="1"/>
        <v xml:space="preserve"> </v>
      </c>
      <c r="F22" s="557"/>
      <c r="G22" s="544"/>
    </row>
    <row r="23" spans="1:8" s="50" customFormat="1" ht="16.5" customHeight="1">
      <c r="A23" s="142"/>
      <c r="B23" s="260" t="str">
        <f>CONCATENATE("varav xDSL slutkunder anslutna via andra grossistprodukter[3]:")</f>
        <v>varav xDSL slutkunder anslutna via andra grossistprodukter[3]:</v>
      </c>
      <c r="C23" s="356"/>
      <c r="D23" s="127"/>
      <c r="E23" s="489" t="str">
        <f t="shared" si="1"/>
        <v xml:space="preserve"> </v>
      </c>
      <c r="F23" s="557"/>
      <c r="G23" s="544"/>
    </row>
    <row r="24" spans="1:8" s="50" customFormat="1" ht="16.5" customHeight="1">
      <c r="A24" s="142"/>
      <c r="B24" s="696" t="s">
        <v>15</v>
      </c>
      <c r="C24" s="490" t="str">
        <f>IF(SUM(C25:C31)=0," ",SUM(C25:C31))</f>
        <v xml:space="preserve"> </v>
      </c>
      <c r="D24" s="488" t="str">
        <f>IF(SUM(D25:D31)=0," ",SUM(D25:D31))</f>
        <v xml:space="preserve"> </v>
      </c>
      <c r="E24" s="485" t="str">
        <f t="shared" si="1"/>
        <v xml:space="preserve"> </v>
      </c>
      <c r="F24" s="573"/>
      <c r="G24" s="544"/>
    </row>
    <row r="25" spans="1:8" s="381" customFormat="1" ht="16.5" customHeight="1">
      <c r="A25" s="142"/>
      <c r="B25" s="261" t="s">
        <v>48</v>
      </c>
      <c r="C25" s="438"/>
      <c r="D25" s="126"/>
      <c r="E25" s="219" t="str">
        <f t="shared" si="1"/>
        <v xml:space="preserve"> </v>
      </c>
      <c r="F25" s="808"/>
      <c r="G25" s="544"/>
    </row>
    <row r="26" spans="1:8" s="50" customFormat="1" ht="16.5" customHeight="1">
      <c r="A26" s="142"/>
      <c r="B26" s="261" t="s">
        <v>49</v>
      </c>
      <c r="C26" s="438"/>
      <c r="D26" s="126"/>
      <c r="E26" s="219" t="str">
        <f t="shared" si="1"/>
        <v xml:space="preserve"> </v>
      </c>
      <c r="F26" s="808"/>
      <c r="G26" s="544"/>
      <c r="H26" s="381"/>
    </row>
    <row r="27" spans="1:8" s="50" customFormat="1" ht="16.5" customHeight="1">
      <c r="A27" s="142"/>
      <c r="B27" s="261" t="s">
        <v>72</v>
      </c>
      <c r="C27" s="356"/>
      <c r="D27" s="127"/>
      <c r="E27" s="219" t="str">
        <f t="shared" si="1"/>
        <v xml:space="preserve"> </v>
      </c>
      <c r="F27" s="573"/>
      <c r="G27" s="544"/>
    </row>
    <row r="28" spans="1:8" s="50" customFormat="1" ht="16.5" customHeight="1">
      <c r="A28" s="142"/>
      <c r="B28" s="261" t="s">
        <v>136</v>
      </c>
      <c r="C28" s="491"/>
      <c r="D28" s="492"/>
      <c r="E28" s="493" t="str">
        <f t="shared" si="1"/>
        <v xml:space="preserve"> </v>
      </c>
      <c r="F28" s="573"/>
      <c r="G28" s="544"/>
    </row>
    <row r="29" spans="1:8" s="480" customFormat="1" ht="16.5" customHeight="1">
      <c r="A29" s="142"/>
      <c r="B29" s="261" t="s">
        <v>228</v>
      </c>
      <c r="C29" s="491"/>
      <c r="D29" s="492"/>
      <c r="E29" s="493" t="str">
        <f t="shared" si="1"/>
        <v xml:space="preserve"> </v>
      </c>
      <c r="F29" s="574"/>
      <c r="G29" s="544"/>
    </row>
    <row r="30" spans="1:8" s="480" customFormat="1" ht="16.5" customHeight="1">
      <c r="A30" s="142"/>
      <c r="B30" s="261" t="s">
        <v>229</v>
      </c>
      <c r="C30" s="491"/>
      <c r="D30" s="492"/>
      <c r="E30" s="493" t="str">
        <f t="shared" si="1"/>
        <v xml:space="preserve"> </v>
      </c>
      <c r="F30" s="574"/>
      <c r="G30" s="544"/>
    </row>
    <row r="31" spans="1:8" s="480" customFormat="1" ht="16.5" customHeight="1">
      <c r="A31" s="142"/>
      <c r="B31" s="261" t="s">
        <v>232</v>
      </c>
      <c r="C31" s="491"/>
      <c r="D31" s="492"/>
      <c r="E31" s="493" t="str">
        <f t="shared" si="1"/>
        <v xml:space="preserve"> </v>
      </c>
      <c r="F31" s="744"/>
      <c r="G31" s="544"/>
    </row>
    <row r="32" spans="1:8" s="480" customFormat="1" ht="16.5" customHeight="1">
      <c r="A32" s="142"/>
      <c r="B32" s="261" t="s">
        <v>172</v>
      </c>
      <c r="C32" s="261"/>
      <c r="D32" s="127"/>
      <c r="E32" s="489"/>
      <c r="F32" s="744"/>
      <c r="G32" s="544"/>
    </row>
    <row r="33" spans="1:39" s="50" customFormat="1" ht="16.5" customHeight="1">
      <c r="A33" s="142"/>
      <c r="B33" s="696" t="str">
        <f>CONCATENATE("Fast radioaccess[4]:")</f>
        <v>Fast radioaccess[4]:</v>
      </c>
      <c r="C33" s="490" t="str">
        <f>IF(SUM(C34:C38)=0," ",SUM(C34:C38))</f>
        <v xml:space="preserve"> </v>
      </c>
      <c r="D33" s="488" t="str">
        <f>IF(SUM(D34:D38)=0," ",SUM(D34:D38))</f>
        <v xml:space="preserve"> </v>
      </c>
      <c r="E33" s="485" t="str">
        <f t="shared" si="1"/>
        <v xml:space="preserve"> </v>
      </c>
      <c r="F33" s="573"/>
      <c r="G33" s="544"/>
    </row>
    <row r="34" spans="1:39" s="50" customFormat="1" ht="16.5" customHeight="1">
      <c r="A34" s="142"/>
      <c r="B34" s="261" t="s">
        <v>48</v>
      </c>
      <c r="C34" s="438"/>
      <c r="D34" s="126"/>
      <c r="E34" s="219" t="str">
        <f t="shared" si="1"/>
        <v xml:space="preserve"> </v>
      </c>
      <c r="F34" s="573"/>
      <c r="G34" s="544"/>
    </row>
    <row r="35" spans="1:39" s="50" customFormat="1" ht="16.5" customHeight="1">
      <c r="A35" s="142"/>
      <c r="B35" s="261" t="s">
        <v>49</v>
      </c>
      <c r="C35" s="438"/>
      <c r="D35" s="126"/>
      <c r="E35" s="219" t="str">
        <f t="shared" si="1"/>
        <v xml:space="preserve"> </v>
      </c>
      <c r="F35" s="573"/>
      <c r="G35" s="544"/>
    </row>
    <row r="36" spans="1:39" s="50" customFormat="1" ht="16.5" customHeight="1">
      <c r="A36" s="142"/>
      <c r="B36" s="261" t="s">
        <v>72</v>
      </c>
      <c r="C36" s="356"/>
      <c r="D36" s="127"/>
      <c r="E36" s="219" t="str">
        <f t="shared" si="1"/>
        <v xml:space="preserve"> </v>
      </c>
      <c r="F36" s="573"/>
      <c r="G36" s="544"/>
    </row>
    <row r="37" spans="1:39" s="50" customFormat="1" ht="16.5" customHeight="1">
      <c r="A37" s="142"/>
      <c r="B37" s="261" t="s">
        <v>136</v>
      </c>
      <c r="C37" s="494"/>
      <c r="D37" s="495"/>
      <c r="E37" s="496" t="str">
        <f>IF(SUM(C37:D37)=0," ",SUM(C37:D37))</f>
        <v xml:space="preserve"> </v>
      </c>
      <c r="F37" s="573"/>
      <c r="G37" s="544"/>
    </row>
    <row r="38" spans="1:39" s="50" customFormat="1" ht="16.5" customHeight="1">
      <c r="A38" s="142"/>
      <c r="B38" s="262" t="s">
        <v>134</v>
      </c>
      <c r="C38" s="249"/>
      <c r="D38" s="486"/>
      <c r="E38" s="497" t="str">
        <f>IF(SUM(C38:D38)=0," ",SUM(C38:D38))</f>
        <v xml:space="preserve"> </v>
      </c>
      <c r="F38" s="573"/>
      <c r="G38" s="544"/>
      <c r="AL38" s="116"/>
      <c r="AM38" s="116"/>
    </row>
    <row r="39" spans="1:39" s="50" customFormat="1" ht="16.5" customHeight="1">
      <c r="A39" s="142"/>
      <c r="B39" s="696" t="str">
        <f>CONCATENATE("Fiber och fiber-LAN[5]:")</f>
        <v>Fiber och fiber-LAN[5]:</v>
      </c>
      <c r="C39" s="490" t="str">
        <f>IF(SUM(C40:C47)=0," ",SUM(C40:C47))</f>
        <v xml:space="preserve"> </v>
      </c>
      <c r="D39" s="488" t="str">
        <f>IF(SUM(D40:D47)=0," ",SUM(D40:D47))</f>
        <v xml:space="preserve"> </v>
      </c>
      <c r="E39" s="219" t="str">
        <f t="shared" ref="E39:E54" si="2">IF(SUM(C39:D39)=0," ",SUM(C39:D39))</f>
        <v xml:space="preserve"> </v>
      </c>
      <c r="F39" s="573"/>
      <c r="G39" s="544"/>
      <c r="AL39" s="116"/>
      <c r="AM39" s="116"/>
    </row>
    <row r="40" spans="1:39" s="381" customFormat="1" ht="16.5" customHeight="1">
      <c r="A40" s="142"/>
      <c r="B40" s="261" t="s">
        <v>48</v>
      </c>
      <c r="C40" s="356"/>
      <c r="D40" s="127"/>
      <c r="E40" s="219" t="str">
        <f t="shared" si="2"/>
        <v xml:space="preserve"> </v>
      </c>
      <c r="F40" s="573"/>
      <c r="G40" s="544"/>
      <c r="H40" s="484"/>
    </row>
    <row r="41" spans="1:39" s="381" customFormat="1" ht="16.5" customHeight="1">
      <c r="A41" s="142"/>
      <c r="B41" s="261" t="s">
        <v>49</v>
      </c>
      <c r="C41" s="438"/>
      <c r="D41" s="126"/>
      <c r="E41" s="219" t="str">
        <f t="shared" si="2"/>
        <v xml:space="preserve"> </v>
      </c>
      <c r="F41" s="573"/>
      <c r="G41" s="544"/>
      <c r="H41" s="484"/>
    </row>
    <row r="42" spans="1:39" s="50" customFormat="1" ht="16.5" customHeight="1">
      <c r="A42" s="142"/>
      <c r="B42" s="261" t="s">
        <v>72</v>
      </c>
      <c r="C42" s="356"/>
      <c r="D42" s="127"/>
      <c r="E42" s="219" t="str">
        <f t="shared" si="2"/>
        <v xml:space="preserve"> </v>
      </c>
      <c r="F42" s="573"/>
      <c r="G42" s="544"/>
      <c r="AL42" s="116"/>
      <c r="AM42" s="116"/>
    </row>
    <row r="43" spans="1:39" s="50" customFormat="1" ht="16.5" customHeight="1">
      <c r="A43" s="142"/>
      <c r="B43" s="261" t="s">
        <v>136</v>
      </c>
      <c r="C43" s="356"/>
      <c r="D43" s="127"/>
      <c r="E43" s="219" t="str">
        <f t="shared" si="2"/>
        <v xml:space="preserve"> </v>
      </c>
      <c r="F43" s="573"/>
      <c r="G43" s="544"/>
      <c r="AL43" s="116"/>
      <c r="AM43" s="116"/>
    </row>
    <row r="44" spans="1:39" s="480" customFormat="1" ht="16.5" customHeight="1">
      <c r="A44" s="142"/>
      <c r="B44" s="261" t="s">
        <v>230</v>
      </c>
      <c r="C44" s="261"/>
      <c r="D44" s="127"/>
      <c r="E44" s="219" t="str">
        <f t="shared" si="2"/>
        <v xml:space="preserve"> </v>
      </c>
      <c r="F44" s="574"/>
      <c r="G44" s="544"/>
    </row>
    <row r="45" spans="1:39" s="480" customFormat="1" ht="16.5" customHeight="1">
      <c r="A45" s="142"/>
      <c r="B45" s="261" t="s">
        <v>231</v>
      </c>
      <c r="C45" s="261"/>
      <c r="D45" s="127"/>
      <c r="E45" s="219" t="str">
        <f t="shared" si="2"/>
        <v xml:space="preserve"> </v>
      </c>
      <c r="F45" s="574"/>
      <c r="G45" s="544"/>
    </row>
    <row r="46" spans="1:39" s="480" customFormat="1" ht="16.5" customHeight="1">
      <c r="A46" s="142"/>
      <c r="B46" s="261" t="s">
        <v>232</v>
      </c>
      <c r="C46" s="261"/>
      <c r="D46" s="127"/>
      <c r="E46" s="219" t="str">
        <f t="shared" si="2"/>
        <v xml:space="preserve"> </v>
      </c>
      <c r="F46" s="574"/>
      <c r="G46" s="544"/>
    </row>
    <row r="47" spans="1:39" s="480" customFormat="1" ht="16.5" customHeight="1">
      <c r="A47" s="142"/>
      <c r="B47" s="261" t="s">
        <v>172</v>
      </c>
      <c r="C47" s="261"/>
      <c r="D47" s="127"/>
      <c r="E47" s="489"/>
      <c r="F47" s="574"/>
      <c r="G47" s="544"/>
    </row>
    <row r="48" spans="1:39" s="50" customFormat="1" ht="16.5" customHeight="1">
      <c r="A48" s="142"/>
      <c r="B48" s="696" t="s">
        <v>187</v>
      </c>
      <c r="C48" s="490" t="str">
        <f>IF(SUM(C49:C53)=0," ",SUM(C49:C53))</f>
        <v xml:space="preserve"> </v>
      </c>
      <c r="D48" s="488" t="str">
        <f>IF(SUM(D49:D53)=0," ",SUM(D49:D53))</f>
        <v xml:space="preserve"> </v>
      </c>
      <c r="E48" s="485" t="str">
        <f t="shared" si="2"/>
        <v xml:space="preserve"> </v>
      </c>
      <c r="F48" s="573"/>
      <c r="G48" s="544"/>
      <c r="AL48" s="116"/>
      <c r="AM48" s="116"/>
    </row>
    <row r="49" spans="1:39" s="50" customFormat="1" ht="16.5" customHeight="1">
      <c r="A49" s="142"/>
      <c r="B49" s="261" t="s">
        <v>48</v>
      </c>
      <c r="C49" s="356"/>
      <c r="D49" s="127"/>
      <c r="E49" s="219" t="str">
        <f t="shared" si="2"/>
        <v xml:space="preserve"> </v>
      </c>
      <c r="F49" s="573"/>
      <c r="G49" s="544"/>
      <c r="AL49" s="116"/>
      <c r="AM49" s="116"/>
    </row>
    <row r="50" spans="1:39" s="50" customFormat="1" ht="16.5" customHeight="1">
      <c r="A50" s="142"/>
      <c r="B50" s="261" t="s">
        <v>49</v>
      </c>
      <c r="C50" s="356"/>
      <c r="D50" s="127"/>
      <c r="E50" s="219" t="str">
        <f t="shared" si="2"/>
        <v xml:space="preserve"> </v>
      </c>
      <c r="F50" s="573"/>
      <c r="G50" s="544"/>
      <c r="AL50" s="116"/>
      <c r="AM50" s="116"/>
    </row>
    <row r="51" spans="1:39" s="50" customFormat="1" ht="16.5" customHeight="1">
      <c r="A51" s="142"/>
      <c r="B51" s="261" t="s">
        <v>72</v>
      </c>
      <c r="C51" s="356"/>
      <c r="D51" s="127"/>
      <c r="E51" s="219" t="str">
        <f t="shared" si="2"/>
        <v xml:space="preserve"> </v>
      </c>
      <c r="F51" s="573"/>
      <c r="G51" s="544"/>
      <c r="AL51" s="116"/>
      <c r="AM51" s="116"/>
    </row>
    <row r="52" spans="1:39" ht="16.5" customHeight="1">
      <c r="A52" s="142"/>
      <c r="B52" s="261" t="s">
        <v>136</v>
      </c>
      <c r="C52" s="438"/>
      <c r="D52" s="126"/>
      <c r="E52" s="219" t="str">
        <f t="shared" si="2"/>
        <v xml:space="preserve"> </v>
      </c>
      <c r="G52" s="544"/>
    </row>
    <row r="53" spans="1:39" ht="16.5" customHeight="1" thickBot="1">
      <c r="A53" s="142"/>
      <c r="B53" s="664" t="s">
        <v>134</v>
      </c>
      <c r="C53" s="665"/>
      <c r="D53" s="666"/>
      <c r="E53" s="667" t="str">
        <f t="shared" si="2"/>
        <v xml:space="preserve"> </v>
      </c>
      <c r="G53" s="544"/>
    </row>
    <row r="54" spans="1:39" ht="27.75" customHeight="1" thickTop="1">
      <c r="A54" s="142"/>
      <c r="B54" s="530" t="s">
        <v>320</v>
      </c>
      <c r="C54" s="222" t="str">
        <f>IF(SUM(C5:C6,C12,C24,C33,C39,C48)=0," ",SUM(C5:C6,C12,C24,C33,C39,C48))</f>
        <v xml:space="preserve"> </v>
      </c>
      <c r="D54" s="669" t="str">
        <f>IF(SUM(D5:D6,D12,D24,D33,D39,D48)=0," ",SUM(D5:D6,D12,D24,D33,D39,D48))</f>
        <v xml:space="preserve"> </v>
      </c>
      <c r="E54" s="224" t="str">
        <f t="shared" si="2"/>
        <v xml:space="preserve"> </v>
      </c>
      <c r="F54" s="821"/>
      <c r="G54" s="544"/>
    </row>
    <row r="55" spans="1:39" ht="39.6" customHeight="1">
      <c r="A55" s="142"/>
      <c r="B55" s="1075" t="str">
        <f>CONCATENATE("Fråga 36: Antal aktiva abonnemang [1] på internettjänst (access) fördelat per accessform och hastighet uppströms den ",'Om detta formulär'!$C$10,":")</f>
        <v>Fråga 36: Antal aktiva abonnemang [1] på internettjänst (access) fördelat per accessform och hastighet uppströms den 31 dec 2019:</v>
      </c>
      <c r="C55" s="1076"/>
      <c r="D55" s="1076"/>
      <c r="E55" s="1077"/>
      <c r="F55" s="50" t="s">
        <v>505</v>
      </c>
      <c r="G55" s="544"/>
      <c r="H55" s="541"/>
    </row>
    <row r="56" spans="1:39">
      <c r="A56" s="142"/>
      <c r="B56" s="152"/>
      <c r="C56" s="153" t="s">
        <v>18</v>
      </c>
      <c r="D56" s="153" t="s">
        <v>19</v>
      </c>
      <c r="E56" s="154" t="s">
        <v>20</v>
      </c>
      <c r="F56" s="544"/>
      <c r="G56" s="544"/>
      <c r="H56" s="317"/>
    </row>
    <row r="57" spans="1:39">
      <c r="A57" s="142"/>
      <c r="B57" s="152"/>
      <c r="C57" s="153"/>
      <c r="D57" s="153"/>
      <c r="E57" s="154"/>
      <c r="F57" s="717"/>
      <c r="G57" s="544"/>
      <c r="H57" s="317"/>
    </row>
    <row r="58" spans="1:39" s="50" customFormat="1" ht="16.5" customHeight="1">
      <c r="A58" s="142"/>
      <c r="B58" s="696" t="s">
        <v>335</v>
      </c>
      <c r="C58" s="490" t="str">
        <f>IF(SUM(C59:C66)=0," ",SUM(C59:C66))</f>
        <v xml:space="preserve"> </v>
      </c>
      <c r="D58" s="488" t="str">
        <f>IF(SUM(D59:D66)=0," ",SUM(D59:D66))</f>
        <v xml:space="preserve"> </v>
      </c>
      <c r="E58" s="485" t="str">
        <f>IF(SUM(C58:D58)=0," ",SUM(C58:D58))</f>
        <v xml:space="preserve"> </v>
      </c>
      <c r="F58" s="717"/>
      <c r="G58" s="544"/>
      <c r="AL58" s="116"/>
      <c r="AM58" s="116"/>
    </row>
    <row r="59" spans="1:39" s="381" customFormat="1" ht="16.5" customHeight="1">
      <c r="A59" s="142"/>
      <c r="B59" s="261" t="s">
        <v>48</v>
      </c>
      <c r="C59" s="438"/>
      <c r="D59" s="126"/>
      <c r="E59" s="219" t="str">
        <f t="shared" ref="E59:E74" si="3">IF(SUM(C59:D59)=0," ",SUM(C59:D59))</f>
        <v xml:space="preserve"> </v>
      </c>
      <c r="F59" s="717"/>
      <c r="G59" s="544"/>
    </row>
    <row r="60" spans="1:39" s="50" customFormat="1" ht="16.5" customHeight="1">
      <c r="A60" s="142"/>
      <c r="B60" s="261" t="s">
        <v>49</v>
      </c>
      <c r="C60" s="438"/>
      <c r="D60" s="126"/>
      <c r="E60" s="219" t="str">
        <f t="shared" si="3"/>
        <v xml:space="preserve"> </v>
      </c>
      <c r="F60" s="717"/>
      <c r="G60" s="544"/>
      <c r="H60" s="381"/>
      <c r="AL60" s="116"/>
      <c r="AM60" s="116"/>
    </row>
    <row r="61" spans="1:39" s="50" customFormat="1" ht="16.5" customHeight="1">
      <c r="A61" s="142"/>
      <c r="B61" s="261" t="s">
        <v>72</v>
      </c>
      <c r="C61" s="356"/>
      <c r="D61" s="127"/>
      <c r="E61" s="219" t="str">
        <f t="shared" si="3"/>
        <v xml:space="preserve"> </v>
      </c>
      <c r="F61" s="717"/>
      <c r="G61" s="544"/>
      <c r="AL61" s="116"/>
      <c r="AM61" s="116"/>
    </row>
    <row r="62" spans="1:39" s="50" customFormat="1" ht="16.5" customHeight="1">
      <c r="A62" s="142"/>
      <c r="B62" s="261" t="s">
        <v>136</v>
      </c>
      <c r="C62" s="491"/>
      <c r="D62" s="492"/>
      <c r="E62" s="493" t="str">
        <f t="shared" si="3"/>
        <v xml:space="preserve"> </v>
      </c>
      <c r="F62" s="717"/>
      <c r="G62" s="544"/>
      <c r="AL62" s="116"/>
      <c r="AM62" s="116"/>
    </row>
    <row r="63" spans="1:39" s="480" customFormat="1" ht="16.5" customHeight="1">
      <c r="A63" s="142"/>
      <c r="B63" s="261" t="s">
        <v>228</v>
      </c>
      <c r="C63" s="491"/>
      <c r="D63" s="492"/>
      <c r="E63" s="493" t="str">
        <f t="shared" si="3"/>
        <v xml:space="preserve"> </v>
      </c>
      <c r="F63" s="717"/>
      <c r="G63" s="544"/>
    </row>
    <row r="64" spans="1:39" s="480" customFormat="1" ht="16.5" customHeight="1">
      <c r="A64" s="142"/>
      <c r="B64" s="261" t="s">
        <v>229</v>
      </c>
      <c r="C64" s="491"/>
      <c r="D64" s="492"/>
      <c r="E64" s="493" t="str">
        <f t="shared" si="3"/>
        <v xml:space="preserve"> </v>
      </c>
      <c r="F64" s="717"/>
      <c r="G64" s="544"/>
    </row>
    <row r="65" spans="1:39" s="480" customFormat="1" ht="16.5" customHeight="1">
      <c r="A65" s="142"/>
      <c r="B65" s="261" t="s">
        <v>397</v>
      </c>
      <c r="C65" s="491"/>
      <c r="D65" s="492"/>
      <c r="E65" s="493" t="str">
        <f t="shared" ref="E65" si="4">IF(SUM(C65:D65)=0," ",SUM(C65:D65))</f>
        <v xml:space="preserve"> </v>
      </c>
      <c r="F65" s="744"/>
      <c r="G65" s="544"/>
    </row>
    <row r="66" spans="1:39" s="480" customFormat="1" ht="16.5" customHeight="1">
      <c r="A66" s="142"/>
      <c r="B66" s="261" t="s">
        <v>172</v>
      </c>
      <c r="C66" s="719"/>
      <c r="D66" s="720"/>
      <c r="E66" s="497" t="str">
        <f t="shared" si="3"/>
        <v xml:space="preserve"> </v>
      </c>
      <c r="F66" s="744"/>
      <c r="G66" s="544"/>
    </row>
    <row r="67" spans="1:39" s="50" customFormat="1" ht="16.5" customHeight="1">
      <c r="A67" s="142"/>
      <c r="B67" s="696" t="str">
        <f>CONCATENATE("Fiber och fiber-LAN uppströms[5]:")</f>
        <v>Fiber och fiber-LAN uppströms[5]:</v>
      </c>
      <c r="C67" s="721" t="str">
        <f>IF(SUM(C68:C75)=0," ",SUM(C68:C75))</f>
        <v xml:space="preserve"> </v>
      </c>
      <c r="D67" s="722" t="str">
        <f>IF(SUM(D68:D75)=0," ",SUM(D68:D75))</f>
        <v xml:space="preserve"> </v>
      </c>
      <c r="E67" s="498" t="str">
        <f t="shared" si="3"/>
        <v xml:space="preserve"> </v>
      </c>
      <c r="F67" s="821"/>
      <c r="G67" s="544"/>
      <c r="AL67" s="116"/>
      <c r="AM67" s="116"/>
    </row>
    <row r="68" spans="1:39" s="381" customFormat="1" ht="16.5" customHeight="1">
      <c r="A68" s="142"/>
      <c r="B68" s="261" t="s">
        <v>48</v>
      </c>
      <c r="C68" s="356"/>
      <c r="D68" s="127"/>
      <c r="E68" s="219" t="str">
        <f t="shared" si="3"/>
        <v xml:space="preserve"> </v>
      </c>
      <c r="F68" s="544"/>
      <c r="G68" s="544"/>
      <c r="H68" s="484"/>
    </row>
    <row r="69" spans="1:39" s="381" customFormat="1" ht="16.5" customHeight="1">
      <c r="A69" s="142"/>
      <c r="B69" s="261" t="s">
        <v>49</v>
      </c>
      <c r="C69" s="438"/>
      <c r="D69" s="126"/>
      <c r="E69" s="219" t="str">
        <f t="shared" si="3"/>
        <v xml:space="preserve"> </v>
      </c>
      <c r="F69" s="544"/>
      <c r="G69" s="544"/>
      <c r="H69" s="484"/>
    </row>
    <row r="70" spans="1:39" s="50" customFormat="1" ht="16.5" customHeight="1">
      <c r="A70" s="142"/>
      <c r="B70" s="261" t="s">
        <v>72</v>
      </c>
      <c r="C70" s="356"/>
      <c r="D70" s="127"/>
      <c r="E70" s="219" t="str">
        <f t="shared" si="3"/>
        <v xml:space="preserve"> </v>
      </c>
      <c r="F70" s="573"/>
      <c r="G70" s="544"/>
      <c r="AL70" s="116"/>
      <c r="AM70" s="116"/>
    </row>
    <row r="71" spans="1:39" s="50" customFormat="1" ht="16.5" customHeight="1">
      <c r="A71" s="142"/>
      <c r="B71" s="261" t="s">
        <v>136</v>
      </c>
      <c r="C71" s="356"/>
      <c r="D71" s="127"/>
      <c r="E71" s="219" t="str">
        <f t="shared" si="3"/>
        <v xml:space="preserve"> </v>
      </c>
      <c r="F71" s="573"/>
      <c r="G71" s="544"/>
      <c r="AL71" s="116"/>
      <c r="AM71" s="116"/>
    </row>
    <row r="72" spans="1:39" s="480" customFormat="1" ht="16.5" customHeight="1">
      <c r="A72" s="142"/>
      <c r="B72" s="261" t="s">
        <v>230</v>
      </c>
      <c r="C72" s="261"/>
      <c r="D72" s="127"/>
      <c r="E72" s="219" t="str">
        <f t="shared" si="3"/>
        <v xml:space="preserve"> </v>
      </c>
      <c r="F72" s="717"/>
      <c r="G72" s="544"/>
    </row>
    <row r="73" spans="1:39" s="480" customFormat="1" ht="16.5" customHeight="1">
      <c r="A73" s="142"/>
      <c r="B73" s="261" t="s">
        <v>231</v>
      </c>
      <c r="C73" s="261"/>
      <c r="D73" s="127"/>
      <c r="E73" s="219" t="str">
        <f t="shared" si="3"/>
        <v xml:space="preserve"> </v>
      </c>
      <c r="F73" s="717"/>
      <c r="G73" s="544"/>
    </row>
    <row r="74" spans="1:39" s="480" customFormat="1" ht="16.5" customHeight="1">
      <c r="A74" s="142"/>
      <c r="B74" s="261" t="s">
        <v>232</v>
      </c>
      <c r="C74" s="261"/>
      <c r="D74" s="127"/>
      <c r="E74" s="219" t="str">
        <f t="shared" si="3"/>
        <v xml:space="preserve"> </v>
      </c>
      <c r="F74" s="717"/>
      <c r="G74" s="544"/>
    </row>
    <row r="75" spans="1:39" s="480" customFormat="1" ht="16.5" customHeight="1">
      <c r="A75" s="142"/>
      <c r="B75" s="261" t="s">
        <v>172</v>
      </c>
      <c r="C75" s="261"/>
      <c r="D75" s="127"/>
      <c r="E75" s="489"/>
      <c r="F75" s="717"/>
      <c r="G75" s="544"/>
    </row>
    <row r="76" spans="1:39" s="50" customFormat="1" ht="28.5" customHeight="1">
      <c r="A76" s="142"/>
      <c r="B76" s="745" t="s">
        <v>336</v>
      </c>
      <c r="C76" s="490" t="str">
        <f>IF(SUM(C77:C81)=0," ",SUM(C77:C81))</f>
        <v xml:space="preserve"> </v>
      </c>
      <c r="D76" s="488" t="str">
        <f>IF(SUM(D77:D81)=0," ",SUM(D77:D81))</f>
        <v xml:space="preserve"> </v>
      </c>
      <c r="E76" s="485" t="str">
        <f t="shared" ref="E76:E81" si="5">IF(SUM(C76:D76)=0," ",SUM(C76:D76))</f>
        <v xml:space="preserve"> </v>
      </c>
      <c r="F76" s="717"/>
      <c r="G76" s="544"/>
      <c r="AL76" s="116"/>
      <c r="AM76" s="116"/>
    </row>
    <row r="77" spans="1:39" s="50" customFormat="1" ht="16.5" customHeight="1">
      <c r="A77" s="142"/>
      <c r="B77" s="261" t="s">
        <v>48</v>
      </c>
      <c r="C77" s="356"/>
      <c r="D77" s="127"/>
      <c r="E77" s="219" t="str">
        <f t="shared" si="5"/>
        <v xml:space="preserve"> </v>
      </c>
      <c r="F77" s="717"/>
      <c r="G77" s="544"/>
      <c r="AL77" s="116"/>
      <c r="AM77" s="116"/>
    </row>
    <row r="78" spans="1:39" s="50" customFormat="1" ht="16.5" customHeight="1">
      <c r="A78" s="142"/>
      <c r="B78" s="261" t="s">
        <v>49</v>
      </c>
      <c r="C78" s="356"/>
      <c r="D78" s="127"/>
      <c r="E78" s="219" t="str">
        <f t="shared" si="5"/>
        <v xml:space="preserve"> </v>
      </c>
      <c r="F78" s="717"/>
      <c r="G78" s="544"/>
      <c r="AL78" s="116"/>
      <c r="AM78" s="116"/>
    </row>
    <row r="79" spans="1:39" s="50" customFormat="1" ht="16.5" customHeight="1">
      <c r="A79" s="142"/>
      <c r="B79" s="261" t="s">
        <v>72</v>
      </c>
      <c r="C79" s="356"/>
      <c r="D79" s="127"/>
      <c r="E79" s="219" t="str">
        <f t="shared" si="5"/>
        <v xml:space="preserve"> </v>
      </c>
      <c r="F79" s="717"/>
      <c r="G79" s="544"/>
      <c r="AL79" s="116"/>
      <c r="AM79" s="116"/>
    </row>
    <row r="80" spans="1:39" s="50" customFormat="1" ht="16.5" customHeight="1">
      <c r="A80" s="142"/>
      <c r="B80" s="261" t="s">
        <v>136</v>
      </c>
      <c r="C80" s="438"/>
      <c r="D80" s="126"/>
      <c r="E80" s="219" t="str">
        <f t="shared" si="5"/>
        <v xml:space="preserve"> </v>
      </c>
      <c r="F80" s="717"/>
      <c r="G80" s="544"/>
      <c r="AL80" s="116"/>
      <c r="AM80" s="116"/>
    </row>
    <row r="81" spans="1:39" s="50" customFormat="1" ht="16.5" customHeight="1" thickBot="1">
      <c r="A81" s="142"/>
      <c r="B81" s="664" t="s">
        <v>134</v>
      </c>
      <c r="C81" s="665"/>
      <c r="D81" s="666"/>
      <c r="E81" s="667" t="str">
        <f t="shared" si="5"/>
        <v xml:space="preserve"> </v>
      </c>
      <c r="F81" s="717"/>
      <c r="G81" s="544"/>
      <c r="AL81" s="116"/>
      <c r="AM81" s="116"/>
    </row>
    <row r="82" spans="1:39" s="50" customFormat="1" ht="16.5" customHeight="1" thickTop="1">
      <c r="A82" s="142"/>
      <c r="B82" s="530" t="s">
        <v>321</v>
      </c>
      <c r="C82" s="668" t="str">
        <f>IF(SUM(C76,C67,C58)=0," ",SUM(C76,C67,C58))</f>
        <v xml:space="preserve"> </v>
      </c>
      <c r="D82" s="668" t="str">
        <f>IF(SUM(D76,D67,D58)=0," ",SUM(D76,D67,D58))</f>
        <v xml:space="preserve"> </v>
      </c>
      <c r="E82" s="668" t="str">
        <f>IF(SUM(E76,E67,E58)=0," ",SUM(E76,E67,E58))</f>
        <v xml:space="preserve"> </v>
      </c>
      <c r="F82" s="717"/>
      <c r="G82" s="544"/>
      <c r="AL82" s="116"/>
      <c r="AM82" s="116"/>
    </row>
    <row r="83" spans="1:39" s="50" customFormat="1" ht="26.25" customHeight="1">
      <c r="A83" s="142"/>
      <c r="B83" s="1094" t="s">
        <v>50</v>
      </c>
      <c r="C83" s="1185"/>
      <c r="D83" s="1185"/>
      <c r="E83" s="1186"/>
      <c r="F83" s="264"/>
      <c r="G83" s="544"/>
      <c r="AL83" s="116"/>
      <c r="AM83" s="116"/>
    </row>
    <row r="84" spans="1:39" ht="13.5" customHeight="1">
      <c r="A84" s="142"/>
      <c r="B84" s="704"/>
      <c r="C84" s="706"/>
      <c r="D84" s="706"/>
      <c r="E84" s="707"/>
    </row>
    <row r="85" spans="1:39" ht="48.75" customHeight="1">
      <c r="A85" s="142"/>
      <c r="B85" s="1075" t="str">
        <f>CONCATENATE("Fråga 37: Intäkter (tusentals kronor) från slutkund för aktiva abonnemang[6] till internettjänst (access) fördelat på accessform. Inklusive uppstarsavgifter samt fasta och rörliga avgifter. Exklusive mobilt bredband och koncerninterna intäkter. Under ",'Om detta formulär'!C6,":")</f>
        <v>Fråga 37: Intäkter (tusentals kronor) från slutkund för aktiva abonnemang[6] till internettjänst (access) fördelat på accessform. Inklusive uppstarsavgifter samt fasta och rörliga avgifter. Exklusive mobilt bredband och koncerninterna intäkter. Under 2019:</v>
      </c>
      <c r="C85" s="1076"/>
      <c r="D85" s="1076"/>
      <c r="E85" s="1077"/>
      <c r="F85" s="50" t="s">
        <v>504</v>
      </c>
      <c r="H85" s="557"/>
    </row>
    <row r="86" spans="1:39" ht="17.100000000000001" customHeight="1">
      <c r="A86" s="142"/>
      <c r="B86" s="117"/>
      <c r="C86" s="118" t="s">
        <v>18</v>
      </c>
      <c r="D86" s="118" t="s">
        <v>19</v>
      </c>
      <c r="E86" s="119" t="s">
        <v>20</v>
      </c>
      <c r="F86" s="544"/>
    </row>
    <row r="87" spans="1:39" s="142" customFormat="1" ht="19.5" customHeight="1">
      <c r="B87" s="202" t="str">
        <f>CONCATENATE("xDSL:")</f>
        <v>xDSL:</v>
      </c>
      <c r="C87" s="179"/>
      <c r="D87" s="373"/>
      <c r="E87" s="374" t="str">
        <f t="shared" ref="E87:E92" si="6">IF(SUM(C87:D87)=0," ",SUM(C87:D87))</f>
        <v xml:space="preserve"> </v>
      </c>
      <c r="F87" s="573"/>
      <c r="G87" s="264"/>
      <c r="H87" s="50"/>
      <c r="I87" s="50"/>
      <c r="J87" s="50"/>
      <c r="K87" s="50"/>
      <c r="L87" s="50"/>
      <c r="M87" s="264"/>
      <c r="N87" s="50"/>
      <c r="O87" s="264"/>
      <c r="P87" s="50"/>
      <c r="Q87" s="264"/>
      <c r="R87" s="50"/>
      <c r="S87" s="264"/>
      <c r="T87" s="50"/>
      <c r="U87" s="264"/>
      <c r="V87" s="50"/>
      <c r="W87" s="264"/>
      <c r="X87" s="50"/>
      <c r="Y87" s="264"/>
      <c r="Z87" s="50"/>
      <c r="AA87" s="264"/>
      <c r="AB87" s="50"/>
      <c r="AC87" s="264"/>
      <c r="AD87" s="50"/>
      <c r="AE87" s="264"/>
      <c r="AF87" s="50"/>
      <c r="AG87" s="264"/>
      <c r="AH87" s="50"/>
      <c r="AI87" s="264"/>
      <c r="AJ87" s="50"/>
      <c r="AK87" s="264"/>
    </row>
    <row r="88" spans="1:39" s="142" customFormat="1" ht="33" customHeight="1">
      <c r="B88" s="202" t="str">
        <f>CONCATENATE("Kabel-tv:")</f>
        <v>Kabel-tv:</v>
      </c>
      <c r="C88" s="179"/>
      <c r="D88" s="373"/>
      <c r="E88" s="374" t="str">
        <f t="shared" si="6"/>
        <v xml:space="preserve"> </v>
      </c>
      <c r="F88" s="573"/>
      <c r="G88" s="264"/>
      <c r="H88" s="50"/>
      <c r="I88" s="50"/>
      <c r="J88" s="50"/>
      <c r="K88" s="50"/>
      <c r="L88" s="50"/>
      <c r="M88" s="264"/>
      <c r="N88" s="50"/>
      <c r="O88" s="264"/>
      <c r="P88" s="50"/>
      <c r="Q88" s="264"/>
      <c r="R88" s="50"/>
      <c r="S88" s="264"/>
      <c r="T88" s="50"/>
      <c r="U88" s="264"/>
      <c r="V88" s="50"/>
      <c r="W88" s="264"/>
      <c r="X88" s="50"/>
      <c r="Y88" s="264"/>
      <c r="Z88" s="50"/>
      <c r="AA88" s="264"/>
      <c r="AB88" s="50"/>
      <c r="AC88" s="264"/>
      <c r="AD88" s="50"/>
      <c r="AE88" s="264"/>
      <c r="AF88" s="50"/>
      <c r="AG88" s="264"/>
      <c r="AH88" s="50"/>
      <c r="AI88" s="264"/>
      <c r="AJ88" s="50"/>
      <c r="AK88" s="264"/>
    </row>
    <row r="89" spans="1:39" s="142" customFormat="1" ht="33" customHeight="1">
      <c r="B89" s="202" t="str">
        <f>CONCATENATE("Fiber och fiber-LAN[5]:")</f>
        <v>Fiber och fiber-LAN[5]:</v>
      </c>
      <c r="C89" s="179"/>
      <c r="D89" s="373"/>
      <c r="E89" s="374" t="str">
        <f t="shared" si="6"/>
        <v xml:space="preserve"> </v>
      </c>
      <c r="F89" s="573"/>
      <c r="G89" s="264"/>
      <c r="H89" s="50"/>
      <c r="I89" s="50"/>
      <c r="J89" s="50"/>
      <c r="K89" s="50"/>
      <c r="L89" s="50"/>
      <c r="M89" s="264"/>
      <c r="N89" s="50"/>
      <c r="O89" s="264"/>
      <c r="P89" s="50"/>
      <c r="Q89" s="264"/>
      <c r="R89" s="50"/>
      <c r="S89" s="264"/>
      <c r="T89" s="50"/>
      <c r="U89" s="264"/>
      <c r="V89" s="50"/>
      <c r="W89" s="264"/>
      <c r="X89" s="50"/>
      <c r="Y89" s="264"/>
      <c r="Z89" s="50"/>
      <c r="AA89" s="264"/>
      <c r="AB89" s="50"/>
      <c r="AC89" s="264"/>
      <c r="AD89" s="50"/>
      <c r="AE89" s="264"/>
      <c r="AF89" s="50"/>
      <c r="AG89" s="264"/>
      <c r="AH89" s="50"/>
      <c r="AI89" s="264"/>
      <c r="AJ89" s="50"/>
      <c r="AK89" s="264"/>
    </row>
    <row r="90" spans="1:39" s="142" customFormat="1" ht="27" customHeight="1">
      <c r="B90" s="932" t="s">
        <v>340</v>
      </c>
      <c r="C90" s="933"/>
      <c r="D90" s="934"/>
      <c r="E90" s="935" t="str">
        <f t="shared" si="6"/>
        <v xml:space="preserve"> </v>
      </c>
      <c r="F90" s="544" t="s">
        <v>420</v>
      </c>
      <c r="G90" s="264"/>
      <c r="H90" s="50"/>
      <c r="I90" s="50"/>
      <c r="J90" s="50"/>
      <c r="K90" s="50"/>
      <c r="L90" s="50"/>
      <c r="M90" s="264"/>
      <c r="N90" s="50"/>
      <c r="O90" s="264"/>
      <c r="P90" s="50"/>
      <c r="Q90" s="264"/>
      <c r="R90" s="50"/>
      <c r="S90" s="264"/>
      <c r="T90" s="50"/>
      <c r="U90" s="264"/>
      <c r="V90" s="50"/>
      <c r="W90" s="264"/>
      <c r="X90" s="50"/>
      <c r="Y90" s="264"/>
      <c r="Z90" s="50"/>
      <c r="AA90" s="264"/>
      <c r="AB90" s="50"/>
      <c r="AC90" s="264"/>
      <c r="AD90" s="50"/>
      <c r="AE90" s="264"/>
      <c r="AF90" s="50"/>
      <c r="AG90" s="264"/>
      <c r="AH90" s="50"/>
      <c r="AI90" s="264"/>
      <c r="AJ90" s="50"/>
      <c r="AK90" s="264"/>
    </row>
    <row r="91" spans="1:39" s="142" customFormat="1" ht="33" customHeight="1" thickBot="1">
      <c r="B91" s="375" t="s">
        <v>341</v>
      </c>
      <c r="C91" s="376"/>
      <c r="D91" s="377"/>
      <c r="E91" s="378" t="str">
        <f t="shared" si="6"/>
        <v xml:space="preserve"> </v>
      </c>
      <c r="F91" s="544"/>
      <c r="G91" s="264"/>
      <c r="H91" s="50"/>
      <c r="I91" s="50"/>
      <c r="J91" s="264"/>
      <c r="K91" s="50"/>
      <c r="L91" s="50"/>
      <c r="M91" s="264"/>
      <c r="N91" s="50"/>
      <c r="O91" s="264"/>
      <c r="P91" s="50"/>
      <c r="Q91" s="264"/>
      <c r="R91" s="50"/>
      <c r="S91" s="264"/>
      <c r="T91" s="50"/>
      <c r="U91" s="264"/>
      <c r="V91" s="50"/>
      <c r="W91" s="264"/>
      <c r="X91" s="50"/>
      <c r="Y91" s="264"/>
      <c r="Z91" s="50"/>
      <c r="AA91" s="264"/>
      <c r="AB91" s="50"/>
      <c r="AC91" s="264"/>
      <c r="AD91" s="50"/>
      <c r="AE91" s="264"/>
      <c r="AF91" s="50"/>
      <c r="AG91" s="264"/>
      <c r="AH91" s="50"/>
      <c r="AI91" s="264"/>
      <c r="AJ91" s="50"/>
      <c r="AK91" s="264"/>
    </row>
    <row r="92" spans="1:39" s="50" customFormat="1" ht="33.75" customHeight="1" thickTop="1">
      <c r="A92" s="142"/>
      <c r="B92" s="379" t="s">
        <v>294</v>
      </c>
      <c r="C92" s="175" t="str">
        <f>IF(SUM(C87,C88,C89,C90:C91)=0," ",SUM(C87,C88,C89,C90:C91))</f>
        <v xml:space="preserve"> </v>
      </c>
      <c r="D92" s="175" t="str">
        <f>IF(SUM(D87,D88,D89,D90:D91)=0," ",SUM(D87,D88,D89,D90:D91))</f>
        <v xml:space="preserve"> </v>
      </c>
      <c r="E92" s="380" t="str">
        <f t="shared" si="6"/>
        <v xml:space="preserve"> </v>
      </c>
      <c r="F92" s="573"/>
      <c r="G92" s="264"/>
    </row>
    <row r="93" spans="1:39">
      <c r="A93" s="142"/>
      <c r="B93" s="185"/>
      <c r="C93" s="499"/>
      <c r="D93" s="499"/>
      <c r="E93" s="499"/>
    </row>
    <row r="94" spans="1:39" s="481" customFormat="1" ht="83.25" customHeight="1">
      <c r="A94" s="142"/>
      <c r="B94" s="1075" t="s">
        <v>507</v>
      </c>
      <c r="C94" s="1076"/>
      <c r="D94" s="1076"/>
      <c r="E94" s="1077"/>
      <c r="F94" s="923" t="s">
        <v>508</v>
      </c>
      <c r="G94" s="557"/>
    </row>
    <row r="95" spans="1:39" s="481" customFormat="1" ht="21.75" customHeight="1">
      <c r="A95" s="142"/>
      <c r="B95" s="1128"/>
      <c r="C95" s="1129"/>
      <c r="D95" s="1206" t="s">
        <v>216</v>
      </c>
      <c r="E95" s="1207"/>
      <c r="F95" s="544"/>
      <c r="G95" s="923"/>
    </row>
    <row r="96" spans="1:39" s="481" customFormat="1">
      <c r="A96" s="142"/>
      <c r="B96" s="1140" t="s">
        <v>233</v>
      </c>
      <c r="C96" s="1141"/>
      <c r="D96" s="1140"/>
      <c r="E96" s="1141"/>
      <c r="F96" s="573"/>
      <c r="G96" s="923"/>
    </row>
    <row r="97" spans="1:7" s="481" customFormat="1">
      <c r="A97" s="142"/>
      <c r="B97" s="1140" t="s">
        <v>234</v>
      </c>
      <c r="C97" s="1141"/>
      <c r="D97" s="1140"/>
      <c r="E97" s="1141"/>
      <c r="F97" s="573"/>
      <c r="G97" s="923"/>
    </row>
    <row r="98" spans="1:7" s="481" customFormat="1">
      <c r="A98" s="142"/>
      <c r="B98" s="1140" t="s">
        <v>235</v>
      </c>
      <c r="C98" s="1141"/>
      <c r="D98" s="1140"/>
      <c r="E98" s="1141"/>
      <c r="F98" s="573"/>
      <c r="G98" s="500"/>
    </row>
    <row r="99" spans="1:7" s="481" customFormat="1">
      <c r="A99" s="142"/>
      <c r="B99" s="1209" t="s">
        <v>217</v>
      </c>
      <c r="C99" s="1183"/>
      <c r="D99" s="1210" t="str">
        <f>IF(SUM(D96+D97+D98)=0," ",SUM(D96+D97+D98))</f>
        <v xml:space="preserve"> </v>
      </c>
      <c r="E99" s="1211" t="str">
        <f>IF(SUM(E96:E98)=0," ",SUM(E96:E98))</f>
        <v xml:space="preserve"> </v>
      </c>
      <c r="F99" s="558"/>
      <c r="G99" s="500"/>
    </row>
    <row r="100" spans="1:7" s="481" customFormat="1" ht="21" customHeight="1">
      <c r="A100" s="142"/>
      <c r="B100" s="1128" t="s">
        <v>50</v>
      </c>
      <c r="C100" s="1208"/>
      <c r="D100" s="1140"/>
      <c r="E100" s="1141"/>
      <c r="F100" s="558"/>
      <c r="G100" s="923"/>
    </row>
    <row r="101" spans="1:7">
      <c r="A101" s="142"/>
      <c r="B101" s="540" t="s">
        <v>283</v>
      </c>
    </row>
    <row r="102" spans="1:7" ht="145.5" customHeight="1">
      <c r="A102" s="436">
        <v>1</v>
      </c>
      <c r="B102" s="705" t="s">
        <v>209</v>
      </c>
      <c r="C102" s="240"/>
      <c r="D102" s="240"/>
      <c r="E102" s="240"/>
    </row>
    <row r="103" spans="1:7" ht="38.25">
      <c r="A103" s="436">
        <v>2</v>
      </c>
      <c r="B103" s="705" t="s">
        <v>207</v>
      </c>
      <c r="C103" s="240"/>
      <c r="D103" s="240"/>
      <c r="E103" s="240"/>
    </row>
    <row r="104" spans="1:7" ht="25.5">
      <c r="A104" s="436">
        <v>3</v>
      </c>
      <c r="B104" s="705" t="s">
        <v>106</v>
      </c>
      <c r="C104" s="240"/>
      <c r="D104" s="240"/>
      <c r="E104" s="240"/>
    </row>
    <row r="105" spans="1:7" ht="25.5">
      <c r="A105" s="436">
        <v>4</v>
      </c>
      <c r="B105" s="705" t="s">
        <v>287</v>
      </c>
      <c r="C105" s="240"/>
      <c r="D105" s="240"/>
      <c r="E105" s="240"/>
    </row>
    <row r="106" spans="1:7" ht="76.5">
      <c r="A106" s="436">
        <v>5</v>
      </c>
      <c r="B106" s="705" t="s">
        <v>165</v>
      </c>
      <c r="C106" s="240"/>
      <c r="D106" s="240"/>
      <c r="E106" s="240"/>
    </row>
    <row r="107" spans="1:7" ht="25.5">
      <c r="A107" s="436">
        <v>6</v>
      </c>
      <c r="B107" s="705" t="s">
        <v>107</v>
      </c>
      <c r="C107" s="240"/>
      <c r="D107" s="240"/>
      <c r="E107" s="240"/>
    </row>
    <row r="108" spans="1:7" ht="89.25">
      <c r="A108" s="436">
        <v>7</v>
      </c>
      <c r="B108" s="705" t="s">
        <v>322</v>
      </c>
      <c r="C108" s="240"/>
      <c r="D108" s="240"/>
      <c r="E108" s="240"/>
    </row>
    <row r="109" spans="1:7" ht="45">
      <c r="A109" s="436">
        <v>8</v>
      </c>
      <c r="B109" s="806" t="s">
        <v>308</v>
      </c>
      <c r="C109" s="240"/>
      <c r="D109" s="240"/>
      <c r="E109" s="240"/>
    </row>
    <row r="110" spans="1:7" ht="25.5">
      <c r="A110" s="436">
        <v>9</v>
      </c>
      <c r="B110" s="705" t="s">
        <v>307</v>
      </c>
      <c r="C110" s="240"/>
      <c r="D110" s="240"/>
      <c r="E110" s="240"/>
    </row>
    <row r="111" spans="1:7">
      <c r="A111" s="65"/>
      <c r="B111" s="597"/>
      <c r="C111" s="240"/>
      <c r="D111" s="240"/>
      <c r="E111" s="240"/>
    </row>
  </sheetData>
  <mergeCells count="18">
    <mergeCell ref="B96:C96"/>
    <mergeCell ref="D96:E96"/>
    <mergeCell ref="B3:E3"/>
    <mergeCell ref="B55:E55"/>
    <mergeCell ref="B83:E83"/>
    <mergeCell ref="B97:C97"/>
    <mergeCell ref="D97:E97"/>
    <mergeCell ref="B100:C100"/>
    <mergeCell ref="D100:E100"/>
    <mergeCell ref="B98:C98"/>
    <mergeCell ref="D98:E98"/>
    <mergeCell ref="B99:C99"/>
    <mergeCell ref="D99:E99"/>
    <mergeCell ref="B2:E2"/>
    <mergeCell ref="B85:E85"/>
    <mergeCell ref="B94:E94"/>
    <mergeCell ref="B95:C95"/>
    <mergeCell ref="D95:E95"/>
  </mergeCells>
  <pageMargins left="0.74803149606299213" right="0.6692913385826772" top="0.39370078740157483" bottom="0.35433070866141736" header="0.43307086614173229" footer="0.23622047244094491"/>
  <pageSetup paperSize="9" scale="85" fitToHeight="0" orientation="portrait" r:id="rId1"/>
  <headerFooter alignWithMargins="0">
    <oddFooter>&amp;CSida &amp;P(&amp;N)</oddFooter>
  </headerFooter>
  <rowBreaks count="2" manualBreakCount="2">
    <brk id="54" max="4" man="1"/>
    <brk id="93"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18</vt:i4>
      </vt:variant>
      <vt:variant>
        <vt:lpstr>Namngivna områden</vt:lpstr>
      </vt:variant>
      <vt:variant>
        <vt:i4>29</vt:i4>
      </vt:variant>
    </vt:vector>
  </HeadingPairs>
  <TitlesOfParts>
    <vt:vector size="47" baseType="lpstr">
      <vt:lpstr>Försättsblad</vt:lpstr>
      <vt:lpstr>Instruktioner </vt:lpstr>
      <vt:lpstr>Kommersiell verks.</vt:lpstr>
      <vt:lpstr>Avgiftsgrundade oms</vt:lpstr>
      <vt:lpstr>Fasta samtalstjänster</vt:lpstr>
      <vt:lpstr>Samtrafik i fasta nät</vt:lpstr>
      <vt:lpstr>Mobila samtalstj.</vt:lpstr>
      <vt:lpstr>Samtrafik i mobilnät</vt:lpstr>
      <vt:lpstr>Internettjänst </vt:lpstr>
      <vt:lpstr>TV-tjänster</vt:lpstr>
      <vt:lpstr>Sampaketering</vt:lpstr>
      <vt:lpstr>Datakom-tj. - grossist</vt:lpstr>
      <vt:lpstr>Datakom-tj. - slutkund</vt:lpstr>
      <vt:lpstr> Svartfiber våglängd</vt:lpstr>
      <vt:lpstr>Byggnadsanslutningar mm</vt:lpstr>
      <vt:lpstr> Kanalisation</vt:lpstr>
      <vt:lpstr>Om detta formulär</vt:lpstr>
      <vt:lpstr>Blad1</vt:lpstr>
      <vt:lpstr>' Kanalisation'!Utskriftsområde</vt:lpstr>
      <vt:lpstr>' Svartfiber våglängd'!Utskriftsområde</vt:lpstr>
      <vt:lpstr>'Avgiftsgrundade oms'!Utskriftsområde</vt:lpstr>
      <vt:lpstr>'Byggnadsanslutningar mm'!Utskriftsområde</vt:lpstr>
      <vt:lpstr>'Datakom-tj. - grossist'!Utskriftsområde</vt:lpstr>
      <vt:lpstr>'Datakom-tj. - slutkund'!Utskriftsområde</vt:lpstr>
      <vt:lpstr>'Fasta samtalstjänster'!Utskriftsområde</vt:lpstr>
      <vt:lpstr>Försättsblad!Utskriftsområde</vt:lpstr>
      <vt:lpstr>'Instruktioner '!Utskriftsområde</vt:lpstr>
      <vt:lpstr>'Internettjänst '!Utskriftsområde</vt:lpstr>
      <vt:lpstr>'Kommersiell verks.'!Utskriftsområde</vt:lpstr>
      <vt:lpstr>'Mobila samtalstj.'!Utskriftsområde</vt:lpstr>
      <vt:lpstr>'Om detta formulär'!Utskriftsområde</vt:lpstr>
      <vt:lpstr>Sampaketering!Utskriftsområde</vt:lpstr>
      <vt:lpstr>'Samtrafik i fasta nät'!Utskriftsområde</vt:lpstr>
      <vt:lpstr>'Samtrafik i mobilnät'!Utskriftsområde</vt:lpstr>
      <vt:lpstr>'TV-tjänster'!Utskriftsområde</vt:lpstr>
      <vt:lpstr>' Svartfiber våglängd'!Utskriftsrubriker</vt:lpstr>
      <vt:lpstr>'Byggnadsanslutningar mm'!Utskriftsrubriker</vt:lpstr>
      <vt:lpstr>'Datakom-tj. - grossist'!Utskriftsrubriker</vt:lpstr>
      <vt:lpstr>'Datakom-tj. - slutkund'!Utskriftsrubriker</vt:lpstr>
      <vt:lpstr>'Fasta samtalstjänster'!Utskriftsrubriker</vt:lpstr>
      <vt:lpstr>'Internettjänst '!Utskriftsrubriker</vt:lpstr>
      <vt:lpstr>'Kommersiell verks.'!Utskriftsrubriker</vt:lpstr>
      <vt:lpstr>'Mobila samtalstj.'!Utskriftsrubriker</vt:lpstr>
      <vt:lpstr>Sampaketering!Utskriftsrubriker</vt:lpstr>
      <vt:lpstr>'Samtrafik i fasta nät'!Utskriftsrubriker</vt:lpstr>
      <vt:lpstr>'Samtrafik i mobilnät'!Utskriftsrubriker</vt:lpstr>
      <vt:lpstr>'TV-tjänster'!Utskriftsrubriker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dc:creator>
  <cp:lastModifiedBy>Fransén, Karin</cp:lastModifiedBy>
  <cp:lastPrinted>2019-12-19T12:15:55Z</cp:lastPrinted>
  <dcterms:created xsi:type="dcterms:W3CDTF">2002-02-15T15:25:43Z</dcterms:created>
  <dcterms:modified xsi:type="dcterms:W3CDTF">2020-03-02T17:42:06Z</dcterms:modified>
</cp:coreProperties>
</file>